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910" tabRatio="709" activeTab="0"/>
  </bookViews>
  <sheets>
    <sheet name="FY 23-24" sheetId="1" r:id="rId1"/>
    <sheet name="FY 22-23" sheetId="2" r:id="rId2"/>
    <sheet name="FY 21-22" sheetId="3" r:id="rId3"/>
    <sheet name="FY 20-21" sheetId="4" r:id="rId4"/>
    <sheet name="FY 19-20" sheetId="5" r:id="rId5"/>
    <sheet name="FY 18-19" sheetId="6" r:id="rId6"/>
    <sheet name="FY 17-18" sheetId="7" r:id="rId7"/>
    <sheet name="FY 16-17" sheetId="8" r:id="rId8"/>
    <sheet name="FY 15-16" sheetId="9" r:id="rId9"/>
    <sheet name="FY 14-15" sheetId="10" r:id="rId10"/>
    <sheet name="FY 13-14" sheetId="11" r:id="rId11"/>
    <sheet name="FY 12-13" sheetId="12" r:id="rId12"/>
    <sheet name="FY 11-12" sheetId="13" r:id="rId13"/>
    <sheet name="FY 10-11" sheetId="14" r:id="rId14"/>
    <sheet name="FY 09-10" sheetId="15" r:id="rId15"/>
    <sheet name="FY 08-09" sheetId="16" r:id="rId16"/>
    <sheet name="FY 07-08" sheetId="17" r:id="rId17"/>
    <sheet name="FY 06-07" sheetId="18" r:id="rId18"/>
    <sheet name="FY 05-06" sheetId="19" r:id="rId19"/>
    <sheet name="FY 04-05" sheetId="20" r:id="rId20"/>
    <sheet name="FY 03-04" sheetId="21" r:id="rId21"/>
  </sheets>
  <definedNames>
    <definedName name="_xlfn.IFERROR" hidden="1">#NAME?</definedName>
    <definedName name="_xlnm.Print_Area" localSheetId="20">'FY 03-04'!$A$1:$K$63</definedName>
    <definedName name="_xlnm.Print_Area" localSheetId="19">'FY 04-05'!$A$1:$K$63</definedName>
    <definedName name="_xlnm.Print_Area" localSheetId="18">'FY 05-06'!$A$1:$K$67</definedName>
    <definedName name="_xlnm.Print_Area" localSheetId="17">'FY 06-07'!$A$1:$K$63</definedName>
    <definedName name="_xlnm.Print_Area" localSheetId="16">'FY 07-08'!$A$1:$K$70</definedName>
    <definedName name="_xlnm.Print_Area" localSheetId="15">'FY 08-09'!$A$1:$L$73</definedName>
    <definedName name="_xlnm.Print_Area" localSheetId="14">'FY 09-10'!$A$1:$L$73</definedName>
    <definedName name="_xlnm.Print_Area" localSheetId="13">'FY 10-11'!$A$1:$L$76</definedName>
    <definedName name="_xlnm.Print_Area" localSheetId="12">'FY 11-12'!$A$1:$M$75</definedName>
    <definedName name="_xlnm.Print_Area" localSheetId="11">'FY 12-13'!$A$1:$M$75</definedName>
    <definedName name="_xlnm.Print_Area" localSheetId="10">'FY 13-14'!$A$1:$M$75</definedName>
    <definedName name="_xlnm.Print_Area" localSheetId="9">'FY 14-15'!$A$1:$M$75</definedName>
    <definedName name="_xlnm.Print_Area" localSheetId="8">'FY 15-16'!$A$1:$M$75</definedName>
    <definedName name="_xlnm.Print_Area" localSheetId="7">'FY 16-17'!$A$1:$M$75</definedName>
    <definedName name="_xlnm.Print_Area" localSheetId="6">'FY 17-18'!$A$1:$M$79</definedName>
    <definedName name="_xlnm.Print_Area" localSheetId="5">'FY 18-19'!$A$1:$M$78</definedName>
    <definedName name="_xlnm.Print_Area" localSheetId="4">'FY 19-20'!$A$1:$K$73</definedName>
    <definedName name="_xlnm.Print_Area" localSheetId="3">'FY 20-21'!$A$1:$K$73</definedName>
    <definedName name="_xlnm.Print_Area" localSheetId="2">'FY 21-22'!$A$1:$K$73</definedName>
    <definedName name="_xlnm.Print_Area" localSheetId="1">'FY 22-23'!$A$1:$K$73</definedName>
    <definedName name="_xlnm.Print_Area" localSheetId="0">'FY 23-24'!$A$1:$K$73</definedName>
  </definedNames>
  <calcPr fullCalcOnLoad="1"/>
</workbook>
</file>

<file path=xl/sharedStrings.xml><?xml version="1.0" encoding="utf-8"?>
<sst xmlns="http://schemas.openxmlformats.org/spreadsheetml/2006/main" count="1550" uniqueCount="135">
  <si>
    <t>Saratoga Gaming &amp; Raceway</t>
  </si>
  <si>
    <t>Crescent Ave</t>
  </si>
  <si>
    <t>Saratoga Springs, NY 12866</t>
  </si>
  <si>
    <t>www.saratogagamingandraceway.com</t>
  </si>
  <si>
    <t>(518) 584-2110</t>
  </si>
  <si>
    <t>Distribution of Net Win:</t>
  </si>
  <si>
    <t>Credits</t>
  </si>
  <si>
    <t>Avg Daily</t>
  </si>
  <si>
    <t>Win/VGM</t>
  </si>
  <si>
    <t>Education</t>
  </si>
  <si>
    <t>Marketing</t>
  </si>
  <si>
    <t>Month</t>
  </si>
  <si>
    <t>Played</t>
  </si>
  <si>
    <t>Won</t>
  </si>
  <si>
    <t>Net Win</t>
  </si>
  <si>
    <t>VGM's</t>
  </si>
  <si>
    <t>per Day</t>
  </si>
  <si>
    <t>Contribution</t>
  </si>
  <si>
    <t>Commission</t>
  </si>
  <si>
    <t>Allowance</t>
  </si>
  <si>
    <t>Total</t>
  </si>
  <si>
    <t>Definition of Terms</t>
  </si>
  <si>
    <t>Credits Played:</t>
  </si>
  <si>
    <t>Credits Won:</t>
  </si>
  <si>
    <t>The amount of onscreen credits won on a VGM.  Also includes any progressive jackpot liability due to players.</t>
  </si>
  <si>
    <t>Net Win:</t>
  </si>
  <si>
    <t xml:space="preserve">The net revenues remaining after payout of prizes to players. (Credits Played less Credits Won)  Net win is </t>
  </si>
  <si>
    <t>commonly referred to as "Hold" or "Net Machine Income".</t>
  </si>
  <si>
    <t>Education Contribution:</t>
  </si>
  <si>
    <t>The portion of Net Win allocated to the State Education Fund for direct aid to education.</t>
  </si>
  <si>
    <t>Marketing Allowance:</t>
  </si>
  <si>
    <t>Distribution of Net Win per Legislation</t>
  </si>
  <si>
    <t xml:space="preserve"> </t>
  </si>
  <si>
    <t>All net win</t>
  </si>
  <si>
    <t>Source:  New York Lottery</t>
  </si>
  <si>
    <t>4/1/05 - 4/12/05:</t>
  </si>
  <si>
    <t>Effective 4/13/05, per amended legislation:</t>
  </si>
  <si>
    <t>First $50 million net win annually</t>
  </si>
  <si>
    <t>$50 - $100 million net win</t>
  </si>
  <si>
    <t>$100 - $150 million net win</t>
  </si>
  <si>
    <t>Over $150 million net win</t>
  </si>
  <si>
    <t>Aid to Municipalities with Video Lottery Gaming Facilities Program</t>
  </si>
  <si>
    <t>City of Saratoga Springs</t>
  </si>
  <si>
    <t>Saratoga County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</si>
  <si>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2007 host municipalities of the Saratoga Gaming &amp; Raceway facility received the following aid payments: </t>
  </si>
  <si>
    <t>Capital</t>
  </si>
  <si>
    <t>Award</t>
  </si>
  <si>
    <t>Capital Award:</t>
  </si>
  <si>
    <t>The portion of Net Win allocated to the operators of the gaming facility that is restricted for capital project investments which improve the</t>
  </si>
  <si>
    <t>The net revenues remaining after payout of prizes to players. (Credits Played less Credits Won)  Net win is commonly referred to as "Hold"</t>
  </si>
  <si>
    <t>or "Net Machine Income".</t>
  </si>
  <si>
    <t>facilities and promote or encourage increased attendance at the video gaming facility. The Capital Award is subject to an annual cap</t>
  </si>
  <si>
    <t>of $2.5 million.</t>
  </si>
  <si>
    <t>Over $100 million net win</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</si>
  <si>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2008 host municipalities of the Saratoga Gaming &amp; Raceway facility received the following aid payments: </t>
  </si>
  <si>
    <t>First $62.5 million net win annually</t>
  </si>
  <si>
    <t>$62.5 - $100 million net win annually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</si>
  <si>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2009 host municipalities of the Saratoga Gaming &amp; Raceway facility received the following aid payments: </t>
  </si>
  <si>
    <t>The net revenues remaining after payout of prizes to players. (Credits Played less Credits Won)  Net win is commonly</t>
  </si>
  <si>
    <t>referred to as "Hold" or "Net Machine Income".</t>
  </si>
  <si>
    <t>The portion of Net Win allocated to the operators of the gaming facility that is restricted for capital project investments</t>
  </si>
  <si>
    <t>which improve the facilities and promote or encourage increased attendance at the video gaming facility. The Capital Award</t>
  </si>
  <si>
    <t>is subject to an annual cap of $2.5 million.</t>
  </si>
  <si>
    <t>Fiscal Year 2010/2011</t>
  </si>
  <si>
    <t>Fiscal Year 2009/2010</t>
  </si>
  <si>
    <t>Fiscal Year 2008/2009</t>
  </si>
  <si>
    <t>Fiscal Year 2007/2008</t>
  </si>
  <si>
    <t>Fiscal Year 2006/2007</t>
  </si>
  <si>
    <t>Fiscal Year 2005/2006</t>
  </si>
  <si>
    <t>Fiscal Year 2004/2005</t>
  </si>
  <si>
    <t>Fiscal Year 2003/2004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</si>
  <si>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2010 host municipalities of the Saratoga Gaming &amp; Raceway facility received the following aid payments: </t>
  </si>
  <si>
    <t xml:space="preserve">                and increased Education Contribution by 1%.</t>
  </si>
  <si>
    <t xml:space="preserve">                Note: The percentages above reflect revised legislation that went into effect August 11, 2010. This legislation lowered Racetrack Commissions</t>
  </si>
  <si>
    <t>Fiscal Year 2011/2012</t>
  </si>
  <si>
    <t>Free Play</t>
  </si>
  <si>
    <t>Agent Commission:</t>
  </si>
  <si>
    <t xml:space="preserve">The portion of the Net Win paid to the casino operator to finance the costs of advertising, marketing and promoting </t>
  </si>
  <si>
    <t>video lottery play at the casino.</t>
  </si>
  <si>
    <t>The portion of Net Win paid to the casino operator as compensation for operating the gaming facility. Most operating expenses</t>
  </si>
  <si>
    <t>Gaming Floor &amp; Admin</t>
  </si>
  <si>
    <t xml:space="preserve">The portion of Net Win used to reimburse gaming floor vendors (central system and game machine providers) and </t>
  </si>
  <si>
    <t>administer the Video Gaming Program (sometimes labeled "Lottery Administration").</t>
  </si>
  <si>
    <t>Agent</t>
  </si>
  <si>
    <t>Gaming Floor</t>
  </si>
  <si>
    <t>&amp; Admin</t>
  </si>
  <si>
    <t xml:space="preserve">of the gaming facility are paid from the agent commission (including the horse racing subsidies), with the exception of the </t>
  </si>
  <si>
    <t xml:space="preserve">gaming floor itself, which is provided by the other vendors and paid for by the Lottery. </t>
  </si>
  <si>
    <t>Gaming Floor &amp; Admin:</t>
  </si>
  <si>
    <t>The amount of promotional free play included in Credits Played that is subsidized by the State through a reduction to Net Win.</t>
  </si>
  <si>
    <t>Agent Commission</t>
  </si>
  <si>
    <t>Operator</t>
  </si>
  <si>
    <t>Purses</t>
  </si>
  <si>
    <t>Breeders</t>
  </si>
  <si>
    <t>Saratoga Casino &amp; Raceway</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</si>
  <si>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2011 host municipalities of the Saratoga Casino &amp; Raceway facility received the following aid payments: </t>
  </si>
  <si>
    <t>Fiscal Year 2012/2013</t>
  </si>
  <si>
    <t>The amount of onscreen credits wagered on a video gaming machine (VGM).  This amount includes Credits Played resulting</t>
  </si>
  <si>
    <t>from; (a) cash and vouchers inserted into a VGM, and (b) any Credits Won used to make a wager on a VGM.</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</si>
  <si>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June, 2012 host municipalities of the Saratoga Casino &amp; Raceway facility received the following aid payments: </t>
  </si>
  <si>
    <t>Free Play Allowance:</t>
  </si>
  <si>
    <t>Source:  New York State Gaming Commission</t>
  </si>
  <si>
    <t>Fiscal Year 2013/2014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</si>
  <si>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2013-2014 host municipalities of the Saratoga Casino &amp; Raceway facility were scheduled to receive the following aid payments: </t>
  </si>
  <si>
    <t>The amount of onscreen credits won on a VGM (prize payout).  Also includes any progressive jackpot liability due to players.</t>
  </si>
  <si>
    <t>Fiscal Year 2014/2015</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</si>
  <si>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2014-2015 host municipalities of the Saratoga Casino &amp; Raceway facility were scheduled to receive the following aid payments: </t>
  </si>
  <si>
    <t>Fiscal Year 2015/2016</t>
  </si>
  <si>
    <t>Fiscal Year 2016/2017</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</si>
  <si>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2015-2016 host municipalities of the Saratoga Casino &amp; Raceway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</si>
  <si>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2016-2017 host municipalities of the Saratoga Casino &amp; Raceway facility were scheduled to receive the following aid payments: </t>
  </si>
  <si>
    <t>Saratoga Casino - Hotel</t>
  </si>
  <si>
    <t>www.saratogacasino.com</t>
  </si>
  <si>
    <t>Fiscal Year 2017/2018</t>
  </si>
  <si>
    <t>Fiscal Year 2018/2019</t>
  </si>
  <si>
    <t>Additional Commission:</t>
  </si>
  <si>
    <t>Agent Commission does not reflect "additional commission" paid to Saratoga pursuant to clauses G and G-2 subparagraph (ii)</t>
  </si>
  <si>
    <t xml:space="preserve">of paragraph 1 of subdivision b of section 1612 of the tax law. Additional commissions paid to Saratoga for FY-18 were $3,163,802.  </t>
  </si>
  <si>
    <t>Fiscal Year 2019/2020</t>
  </si>
  <si>
    <t xml:space="preserve">of paragraph 1 of subdivision b of section 1612 of the tax law. Additional commissions paid to Saratoga for FY-19 were $19,585,483.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</si>
  <si>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2019-2020 host municipalities of the Saratoga Casino &amp; Raceway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</si>
  <si>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2018-2019 host municipalities of the Saratoga Casino &amp; Raceway facility were scheduled to receive the following aid payments: </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</si>
  <si>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2017-2018 host municipalities of the Saratoga Casino &amp; Raceway facility were scheduled to receive the following aid payments: </t>
  </si>
  <si>
    <r>
      <t>Effective April 12</t>
    </r>
    <r>
      <rPr>
        <vertAlign val="superscript"/>
        <sz val="10"/>
        <rFont val="Arial"/>
        <family val="2"/>
      </rPr>
      <t>th</t>
    </r>
    <r>
      <rPr>
        <sz val="10"/>
        <rFont val="Arial"/>
        <family val="2"/>
      </rPr>
      <t xml:space="preserve">, Chapter 59 of the Laws of 2019 repealed and replaced the existing marketing and capital award programs. </t>
    </r>
  </si>
  <si>
    <t>Pursuant to the new provisions, agent commission rates are inclusive of marketing and capital award funds. Agents shall</t>
  </si>
  <si>
    <t>dedicate 4% of net win, subject to a $2.5 million annual cap, to capital award projects.</t>
  </si>
  <si>
    <t>Agent Commission does not reflect "additional commission" paid to Saratoga pursuant to section 1612 of the tax law.</t>
  </si>
  <si>
    <t>Fiscal Year 2020/2021</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</si>
  <si>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2020-21 host municipalities of the Saratoga Casino &amp; Raceway facility were scheduled to receive the following aid payments: </t>
  </si>
  <si>
    <t>Fiscal Year 2021/2022</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</si>
  <si>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2021-22 host municipalities of the Saratoga Casino &amp; Raceway facility were scheduled to receive the following aid payments: </t>
  </si>
  <si>
    <t>Fiscal Year 2022/2023</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</si>
  <si>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2022-23 host municipalities of the Saratoga Casino &amp; Raceway facility were scheduled to receive the following aid payments: </t>
  </si>
  <si>
    <t>Fiscal Year 2023/2024</t>
  </si>
  <si>
    <t xml:space="preserve">Beginning in FY 07/08, in accordance with Section 54-L of the State Finance Law, cities, counties, towns, or villages that host a video lottery gaming facility will receive annual aid payments from the Office of the State Comptroller.  State aid payments made to an eligible municipality are used to defray local costs associated with a video lottery gaming facility, to reduce real property taxes, or to increase support for public schools.  In Fiscal Year 2023-23 host municipalities of the Saratoga Casino &amp; Raceway facility were scheduled to receive the following aid payments: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</si>
</sst>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quot;$&quot;#,##0.0_);[Red]\(&quot;$&quot;#,##0.0\)"/>
    <numFmt numFmtId="167" formatCode="[$-409]h:mm:ss\ AM/PM"/>
    <numFmt numFmtId="168" formatCode="0.00%;[Red]\(0.00%\)"/>
    <numFmt numFmtId="169" formatCode="m/d/yy;@"/>
    <numFmt numFmtId="170" formatCode="[Red]0.00%\)\(0.00%\)"/>
    <numFmt numFmtId="171" formatCode="0.00%_);[Red]\(0.00%\)"/>
    <numFmt numFmtId="172" formatCode="mmm\-yyyy"/>
    <numFmt numFmtId="173" formatCode="&quot;$&quot;#,##0.000_);[Red]\(&quot;$&quot;#,##0.000\)"/>
    <numFmt numFmtId="174" formatCode="&quot;Yes&quot;;&quot;Yes&quot;;&quot;No&quot;"/>
    <numFmt numFmtId="175" formatCode="&quot;True&quot;;&quot;True&quot;;&quot;False&quot;"/>
    <numFmt numFmtId="176" formatCode="&quot;On&quot;;&quot;On&quot;;&quot;Off&quot;"/>
    <numFmt numFmtId="177" formatCode="[$€-2]\ #,##0.00_);[Red]\([$€-2]\ #,##0.00\)"/>
    <numFmt numFmtId="178" formatCode="&quot;$&quot;#,##0.00"/>
    <numFmt numFmtId="179" formatCode="&quot;$&quot;#,##0.0"/>
    <numFmt numFmtId="180" formatCode="&quot;$&quot;#,##0"/>
  </numFmts>
  <fonts count="50">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4"/>
      <name val="Arial"/>
      <family val="2"/>
    </font>
    <font>
      <sz val="12"/>
      <name val="Arial"/>
      <family val="2"/>
    </font>
    <font>
      <u val="single"/>
      <sz val="11"/>
      <color indexed="12"/>
      <name val="Arial"/>
      <family val="2"/>
    </font>
    <font>
      <sz val="11"/>
      <name val="Arial"/>
      <family val="2"/>
    </font>
    <font>
      <b/>
      <sz val="10"/>
      <name val="Arial"/>
      <family val="2"/>
    </font>
    <font>
      <b/>
      <sz val="9"/>
      <name val="Arial"/>
      <family val="2"/>
    </font>
    <font>
      <sz val="9"/>
      <name val="Arial"/>
      <family val="2"/>
    </font>
    <font>
      <b/>
      <vertAlign val="superscript"/>
      <sz val="9"/>
      <name val="Arial"/>
      <family val="2"/>
    </font>
    <font>
      <b/>
      <i/>
      <u val="single"/>
      <sz val="10"/>
      <name val="Arial"/>
      <family val="2"/>
    </font>
    <font>
      <u val="single"/>
      <sz val="12"/>
      <color indexed="12"/>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vertical="top"/>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1" fillId="0" borderId="0">
      <alignment vertical="top"/>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5">
    <xf numFmtId="0" fontId="0" fillId="0" borderId="0" xfId="0" applyAlignment="1">
      <alignment/>
    </xf>
    <xf numFmtId="0" fontId="0" fillId="0" borderId="0" xfId="0" applyAlignment="1">
      <alignment horizontal="center"/>
    </xf>
    <xf numFmtId="6" fontId="8" fillId="0" borderId="0" xfId="0" applyNumberFormat="1" applyFont="1" applyAlignment="1">
      <alignment horizontal="center"/>
    </xf>
    <xf numFmtId="165"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0" fillId="0" borderId="0" xfId="0" applyFont="1" applyAlignment="1">
      <alignment horizontal="center"/>
    </xf>
    <xf numFmtId="6" fontId="10" fillId="0" borderId="10" xfId="0" applyNumberFormat="1" applyFont="1" applyBorder="1" applyAlignment="1">
      <alignment horizontal="center"/>
    </xf>
    <xf numFmtId="165" fontId="10" fillId="0" borderId="0" xfId="0" applyNumberFormat="1" applyFont="1" applyAlignment="1">
      <alignment horizontal="center"/>
    </xf>
    <xf numFmtId="6" fontId="10" fillId="0" borderId="0" xfId="0" applyNumberFormat="1" applyFont="1" applyAlignment="1">
      <alignment horizontal="center"/>
    </xf>
    <xf numFmtId="38" fontId="10" fillId="0" borderId="0" xfId="0" applyNumberFormat="1" applyFont="1" applyAlignment="1">
      <alignment horizontal="center"/>
    </xf>
    <xf numFmtId="0" fontId="10" fillId="0" borderId="0" xfId="0" applyFont="1" applyAlignment="1">
      <alignment horizontal="center"/>
    </xf>
    <xf numFmtId="165" fontId="10" fillId="0" borderId="10" xfId="0" applyNumberFormat="1" applyFont="1" applyBorder="1" applyAlignment="1">
      <alignment horizontal="center"/>
    </xf>
    <xf numFmtId="38" fontId="10" fillId="0" borderId="10" xfId="0" applyNumberFormat="1" applyFont="1" applyBorder="1" applyAlignment="1">
      <alignment horizontal="center"/>
    </xf>
    <xf numFmtId="6" fontId="10" fillId="0" borderId="0" xfId="0" applyNumberFormat="1" applyFont="1" applyBorder="1" applyAlignment="1">
      <alignment horizontal="center"/>
    </xf>
    <xf numFmtId="6" fontId="0" fillId="0" borderId="0" xfId="0" applyNumberFormat="1" applyAlignment="1">
      <alignment/>
    </xf>
    <xf numFmtId="38" fontId="0" fillId="0" borderId="0" xfId="0" applyNumberFormat="1" applyAlignment="1">
      <alignment/>
    </xf>
    <xf numFmtId="6" fontId="0" fillId="0" borderId="11" xfId="0" applyNumberFormat="1" applyBorder="1" applyAlignment="1">
      <alignment/>
    </xf>
    <xf numFmtId="6" fontId="0" fillId="0" borderId="0" xfId="0" applyNumberFormat="1" applyBorder="1" applyAlignment="1">
      <alignment/>
    </xf>
    <xf numFmtId="171" fontId="0" fillId="0" borderId="0" xfId="0" applyNumberFormat="1" applyAlignment="1">
      <alignment horizontal="center"/>
    </xf>
    <xf numFmtId="171" fontId="0" fillId="0" borderId="0" xfId="0" applyNumberFormat="1" applyBorder="1" applyAlignment="1">
      <alignment/>
    </xf>
    <xf numFmtId="171" fontId="0" fillId="0" borderId="0" xfId="0" applyNumberFormat="1" applyAlignment="1">
      <alignment/>
    </xf>
    <xf numFmtId="0" fontId="0" fillId="0" borderId="0" xfId="0" applyFont="1" applyAlignment="1">
      <alignment/>
    </xf>
    <xf numFmtId="165" fontId="0" fillId="0" borderId="0" xfId="0" applyNumberFormat="1" applyAlignment="1">
      <alignment horizontal="left"/>
    </xf>
    <xf numFmtId="165" fontId="9" fillId="0" borderId="0" xfId="0" applyNumberFormat="1" applyFont="1" applyAlignment="1">
      <alignment horizontal="left"/>
    </xf>
    <xf numFmtId="6" fontId="0" fillId="0" borderId="0" xfId="0" applyNumberFormat="1" applyFont="1" applyAlignment="1">
      <alignment/>
    </xf>
    <xf numFmtId="38" fontId="0" fillId="0" borderId="0" xfId="0" applyNumberFormat="1" applyFont="1" applyAlignment="1">
      <alignment/>
    </xf>
    <xf numFmtId="165" fontId="0" fillId="0" borderId="0" xfId="0" applyNumberFormat="1" applyFont="1" applyAlignment="1">
      <alignment horizontal="left"/>
    </xf>
    <xf numFmtId="165" fontId="11" fillId="0" borderId="0" xfId="0" applyNumberFormat="1" applyFont="1" applyAlignment="1">
      <alignment horizontal="left"/>
    </xf>
    <xf numFmtId="6" fontId="11" fillId="0" borderId="0" xfId="0" applyNumberFormat="1" applyFont="1" applyAlignment="1">
      <alignment/>
    </xf>
    <xf numFmtId="38" fontId="11" fillId="0" borderId="0" xfId="0" applyNumberFormat="1" applyFont="1" applyAlignment="1">
      <alignment/>
    </xf>
    <xf numFmtId="0" fontId="12" fillId="0" borderId="0" xfId="0" applyFont="1" applyAlignment="1">
      <alignment/>
    </xf>
    <xf numFmtId="6" fontId="9" fillId="0" borderId="0" xfId="0" applyNumberFormat="1" applyFont="1" applyAlignment="1">
      <alignment/>
    </xf>
    <xf numFmtId="6" fontId="11" fillId="0" borderId="0" xfId="0" applyNumberFormat="1" applyFont="1" applyBorder="1" applyAlignment="1">
      <alignment horizontal="center"/>
    </xf>
    <xf numFmtId="0" fontId="11" fillId="0" borderId="0" xfId="0" applyFont="1" applyAlignment="1">
      <alignment/>
    </xf>
    <xf numFmtId="6" fontId="9" fillId="0" borderId="10" xfId="0" applyNumberFormat="1" applyFont="1" applyBorder="1" applyAlignment="1">
      <alignment/>
    </xf>
    <xf numFmtId="6" fontId="9" fillId="0" borderId="0" xfId="0" applyNumberFormat="1" applyFont="1" applyBorder="1" applyAlignment="1">
      <alignment/>
    </xf>
    <xf numFmtId="9" fontId="11" fillId="0" borderId="0" xfId="0" applyNumberFormat="1" applyFont="1" applyBorder="1" applyAlignment="1">
      <alignment horizontal="center"/>
    </xf>
    <xf numFmtId="0" fontId="0" fillId="0" borderId="0" xfId="0" applyFont="1" applyAlignment="1">
      <alignment horizontal="left" vertical="top"/>
    </xf>
    <xf numFmtId="9" fontId="0" fillId="0" borderId="0" xfId="0" applyNumberFormat="1" applyFont="1" applyAlignment="1">
      <alignment horizontal="center"/>
    </xf>
    <xf numFmtId="6" fontId="13" fillId="0" borderId="0" xfId="0" applyNumberFormat="1" applyFont="1" applyAlignment="1">
      <alignment/>
    </xf>
    <xf numFmtId="165" fontId="9" fillId="0" borderId="0" xfId="61" applyNumberFormat="1" applyFont="1" applyAlignment="1">
      <alignment horizontal="left"/>
      <protection/>
    </xf>
    <xf numFmtId="6" fontId="0" fillId="0" borderId="0" xfId="61" applyNumberFormat="1" applyFont="1">
      <alignment vertical="top"/>
      <protection/>
    </xf>
    <xf numFmtId="6" fontId="0" fillId="0" borderId="0" xfId="61" applyNumberFormat="1" applyFont="1" applyAlignment="1">
      <alignment/>
      <protection/>
    </xf>
    <xf numFmtId="6" fontId="0" fillId="0" borderId="0" xfId="61" applyNumberFormat="1" applyFont="1" applyAlignment="1">
      <alignment wrapText="1"/>
      <protection/>
    </xf>
    <xf numFmtId="0" fontId="1" fillId="0" borderId="0" xfId="61">
      <alignment vertical="top"/>
      <protection/>
    </xf>
    <xf numFmtId="6" fontId="1" fillId="0" borderId="0" xfId="61" applyNumberFormat="1">
      <alignment vertical="top"/>
      <protection/>
    </xf>
    <xf numFmtId="38" fontId="0" fillId="0" borderId="0" xfId="61" applyNumberFormat="1" applyFont="1">
      <alignment vertical="top"/>
      <protection/>
    </xf>
    <xf numFmtId="165" fontId="0" fillId="0" borderId="0" xfId="61" applyNumberFormat="1" applyFont="1" applyAlignment="1">
      <alignment horizontal="left"/>
      <protection/>
    </xf>
    <xf numFmtId="165" fontId="11" fillId="0" borderId="0" xfId="61" applyNumberFormat="1" applyFont="1" applyAlignment="1">
      <alignment horizontal="left"/>
      <protection/>
    </xf>
    <xf numFmtId="6" fontId="11" fillId="0" borderId="0" xfId="61" applyNumberFormat="1" applyFont="1">
      <alignment vertical="top"/>
      <protection/>
    </xf>
    <xf numFmtId="38" fontId="11" fillId="0" borderId="0" xfId="61" applyNumberFormat="1" applyFont="1">
      <alignment vertical="top"/>
      <protection/>
    </xf>
    <xf numFmtId="165" fontId="0" fillId="0" borderId="0" xfId="0" applyNumberFormat="1" applyAlignment="1">
      <alignment/>
    </xf>
    <xf numFmtId="6" fontId="10" fillId="0" borderId="0" xfId="61" applyNumberFormat="1" applyFont="1" applyAlignment="1">
      <alignment horizontal="center"/>
      <protection/>
    </xf>
    <xf numFmtId="6" fontId="10" fillId="0" borderId="10" xfId="61" applyNumberFormat="1" applyFont="1" applyBorder="1" applyAlignment="1">
      <alignment horizontal="center"/>
      <protection/>
    </xf>
    <xf numFmtId="6" fontId="10" fillId="0" borderId="10" xfId="0" applyNumberFormat="1" applyFont="1" applyBorder="1" applyAlignment="1">
      <alignment horizontal="right"/>
    </xf>
    <xf numFmtId="10" fontId="0" fillId="0" borderId="0" xfId="0" applyNumberFormat="1" applyFont="1" applyAlignment="1">
      <alignment horizontal="center"/>
    </xf>
    <xf numFmtId="10" fontId="0" fillId="0" borderId="0" xfId="0" applyNumberFormat="1" applyFont="1" applyAlignment="1">
      <alignment horizontal="right"/>
    </xf>
    <xf numFmtId="10" fontId="0" fillId="0" borderId="0" xfId="0" applyNumberFormat="1" applyFont="1" applyAlignment="1">
      <alignment/>
    </xf>
    <xf numFmtId="165" fontId="9" fillId="0" borderId="0" xfId="0" applyNumberFormat="1" applyFont="1" applyAlignment="1">
      <alignment horizontal="center"/>
    </xf>
    <xf numFmtId="6" fontId="9" fillId="0" borderId="11" xfId="0" applyNumberFormat="1" applyFont="1" applyBorder="1" applyAlignment="1">
      <alignment/>
    </xf>
    <xf numFmtId="38" fontId="9" fillId="0" borderId="11" xfId="0" applyNumberFormat="1" applyFont="1" applyBorder="1" applyAlignment="1">
      <alignment/>
    </xf>
    <xf numFmtId="6" fontId="0" fillId="0" borderId="0" xfId="57" applyNumberFormat="1" applyAlignment="1">
      <alignment/>
      <protection/>
    </xf>
    <xf numFmtId="180" fontId="9" fillId="0" borderId="11" xfId="0" applyNumberFormat="1" applyFont="1" applyBorder="1" applyAlignment="1">
      <alignment/>
    </xf>
    <xf numFmtId="0" fontId="0" fillId="0" borderId="0" xfId="0" applyFont="1" applyAlignment="1">
      <alignment horizontal="left"/>
    </xf>
    <xf numFmtId="165" fontId="0" fillId="0" borderId="0" xfId="0" applyNumberFormat="1" applyFont="1" applyAlignment="1">
      <alignment/>
    </xf>
    <xf numFmtId="6" fontId="1" fillId="0" borderId="0" xfId="61" applyNumberFormat="1" applyFont="1">
      <alignment vertical="top"/>
      <protection/>
    </xf>
    <xf numFmtId="165" fontId="0" fillId="0" borderId="0" xfId="57" applyNumberFormat="1" applyAlignment="1">
      <alignment horizontal="center"/>
      <protection/>
    </xf>
    <xf numFmtId="38" fontId="9" fillId="0" borderId="11" xfId="57" applyNumberFormat="1" applyFont="1" applyBorder="1" applyAlignment="1">
      <alignment/>
      <protection/>
    </xf>
    <xf numFmtId="6" fontId="5" fillId="0" borderId="0" xfId="0" applyNumberFormat="1" applyFont="1" applyAlignment="1">
      <alignment horizontal="center"/>
    </xf>
    <xf numFmtId="6" fontId="6" fillId="0" borderId="0" xfId="0" applyNumberFormat="1" applyFont="1" applyAlignment="1">
      <alignment horizontal="center"/>
    </xf>
    <xf numFmtId="6" fontId="14" fillId="0" borderId="0" xfId="53" applyNumberFormat="1" applyFont="1" applyAlignment="1" applyProtection="1">
      <alignment horizontal="center"/>
      <protection/>
    </xf>
    <xf numFmtId="6" fontId="8" fillId="0" borderId="0" xfId="0" applyNumberFormat="1" applyFont="1" applyAlignment="1">
      <alignment horizontal="center"/>
    </xf>
    <xf numFmtId="165" fontId="9" fillId="33" borderId="12" xfId="0" applyNumberFormat="1" applyFont="1" applyFill="1" applyBorder="1" applyAlignment="1">
      <alignment horizontal="center"/>
    </xf>
    <xf numFmtId="165" fontId="9" fillId="33" borderId="13" xfId="0" applyNumberFormat="1" applyFont="1" applyFill="1" applyBorder="1" applyAlignment="1">
      <alignment horizontal="center"/>
    </xf>
    <xf numFmtId="6" fontId="10" fillId="0" borderId="10" xfId="0" applyNumberFormat="1" applyFont="1" applyBorder="1" applyAlignment="1">
      <alignment horizontal="center"/>
    </xf>
    <xf numFmtId="6" fontId="9" fillId="33" borderId="12" xfId="0" applyNumberFormat="1" applyFont="1" applyFill="1" applyBorder="1" applyAlignment="1">
      <alignment horizontal="center"/>
    </xf>
    <xf numFmtId="6" fontId="9" fillId="33" borderId="13" xfId="0" applyNumberFormat="1" applyFont="1" applyFill="1" applyBorder="1" applyAlignment="1">
      <alignment horizontal="center"/>
    </xf>
    <xf numFmtId="0" fontId="0" fillId="0" borderId="0" xfId="61" applyNumberFormat="1" applyFont="1" applyBorder="1" applyAlignment="1">
      <alignment horizontal="left" wrapText="1"/>
      <protection/>
    </xf>
    <xf numFmtId="0" fontId="0" fillId="0" borderId="0" xfId="61" applyNumberFormat="1" applyFont="1" applyBorder="1" applyAlignment="1">
      <alignment horizontal="left" wrapText="1"/>
      <protection/>
    </xf>
    <xf numFmtId="165" fontId="9" fillId="33" borderId="14" xfId="0" applyNumberFormat="1" applyFont="1" applyFill="1" applyBorder="1" applyAlignment="1">
      <alignment horizontal="center"/>
    </xf>
    <xf numFmtId="6" fontId="9" fillId="33" borderId="14" xfId="0" applyNumberFormat="1" applyFont="1" applyFill="1" applyBorder="1" applyAlignment="1">
      <alignment horizontal="center"/>
    </xf>
    <xf numFmtId="6" fontId="7" fillId="0" borderId="0" xfId="53" applyNumberFormat="1" applyFont="1" applyAlignment="1" applyProtection="1">
      <alignment horizontal="center"/>
      <protection/>
    </xf>
    <xf numFmtId="0" fontId="0" fillId="0" borderId="0" xfId="61" applyNumberFormat="1" applyFont="1" applyAlignment="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png@01D1A544.1BABFB3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7.xml.rels><?xml version="1.0" encoding="utf-8" standalone="yes"?><Relationships xmlns="http://schemas.openxmlformats.org/package/2006/relationships"><Relationship Id="rId1" Type="http://schemas.openxmlformats.org/officeDocument/2006/relationships/image" Target="../media/image5.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cid:image001.png@01D1A544.1BABFB30"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1.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cid:image001.png@01D1A544.1BABFB3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104775</xdr:colOff>
      <xdr:row>3</xdr:row>
      <xdr:rowOff>85725</xdr:rowOff>
    </xdr:to>
    <xdr:pic>
      <xdr:nvPicPr>
        <xdr:cNvPr id="1" name="Picture 1"/>
        <xdr:cNvPicPr preferRelativeResize="1">
          <a:picLocks noChangeAspect="1"/>
        </xdr:cNvPicPr>
      </xdr:nvPicPr>
      <xdr:blipFill>
        <a:blip r:link="rId1"/>
        <a:stretch>
          <a:fillRect/>
        </a:stretch>
      </xdr:blipFill>
      <xdr:spPr>
        <a:xfrm>
          <a:off x="0" y="0"/>
          <a:ext cx="166687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66675</xdr:rowOff>
    </xdr:from>
    <xdr:to>
      <xdr:col>2</xdr:col>
      <xdr:colOff>123825</xdr:colOff>
      <xdr:row>5</xdr:row>
      <xdr:rowOff>0</xdr:rowOff>
    </xdr:to>
    <xdr:pic>
      <xdr:nvPicPr>
        <xdr:cNvPr id="1" name="Picture 1" descr="facility_sgr_logo"/>
        <xdr:cNvPicPr preferRelativeResize="1">
          <a:picLocks noChangeAspect="1"/>
        </xdr:cNvPicPr>
      </xdr:nvPicPr>
      <xdr:blipFill>
        <a:blip r:embed="rId1"/>
        <a:stretch>
          <a:fillRect/>
        </a:stretch>
      </xdr:blipFill>
      <xdr:spPr>
        <a:xfrm>
          <a:off x="476250" y="66675"/>
          <a:ext cx="1209675"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66675</xdr:rowOff>
    </xdr:from>
    <xdr:to>
      <xdr:col>2</xdr:col>
      <xdr:colOff>123825</xdr:colOff>
      <xdr:row>5</xdr:row>
      <xdr:rowOff>0</xdr:rowOff>
    </xdr:to>
    <xdr:pic>
      <xdr:nvPicPr>
        <xdr:cNvPr id="1" name="Picture 1" descr="facility_sgr_logo"/>
        <xdr:cNvPicPr preferRelativeResize="1">
          <a:picLocks noChangeAspect="1"/>
        </xdr:cNvPicPr>
      </xdr:nvPicPr>
      <xdr:blipFill>
        <a:blip r:embed="rId1"/>
        <a:stretch>
          <a:fillRect/>
        </a:stretch>
      </xdr:blipFill>
      <xdr:spPr>
        <a:xfrm>
          <a:off x="476250" y="66675"/>
          <a:ext cx="1209675" cy="904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66675</xdr:rowOff>
    </xdr:from>
    <xdr:to>
      <xdr:col>2</xdr:col>
      <xdr:colOff>123825</xdr:colOff>
      <xdr:row>5</xdr:row>
      <xdr:rowOff>0</xdr:rowOff>
    </xdr:to>
    <xdr:pic>
      <xdr:nvPicPr>
        <xdr:cNvPr id="1" name="Picture 1" descr="facility_sgr_logo"/>
        <xdr:cNvPicPr preferRelativeResize="1">
          <a:picLocks noChangeAspect="1"/>
        </xdr:cNvPicPr>
      </xdr:nvPicPr>
      <xdr:blipFill>
        <a:blip r:embed="rId1"/>
        <a:stretch>
          <a:fillRect/>
        </a:stretch>
      </xdr:blipFill>
      <xdr:spPr>
        <a:xfrm>
          <a:off x="476250" y="66675"/>
          <a:ext cx="1209675"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66675</xdr:rowOff>
    </xdr:from>
    <xdr:to>
      <xdr:col>2</xdr:col>
      <xdr:colOff>123825</xdr:colOff>
      <xdr:row>5</xdr:row>
      <xdr:rowOff>0</xdr:rowOff>
    </xdr:to>
    <xdr:pic>
      <xdr:nvPicPr>
        <xdr:cNvPr id="1" name="Picture 1" descr="facility_sgr_logo"/>
        <xdr:cNvPicPr preferRelativeResize="1">
          <a:picLocks noChangeAspect="1"/>
        </xdr:cNvPicPr>
      </xdr:nvPicPr>
      <xdr:blipFill>
        <a:blip r:embed="rId1"/>
        <a:stretch>
          <a:fillRect/>
        </a:stretch>
      </xdr:blipFill>
      <xdr:spPr>
        <a:xfrm>
          <a:off x="476250" y="66675"/>
          <a:ext cx="1209675" cy="904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104775</xdr:rowOff>
    </xdr:from>
    <xdr:to>
      <xdr:col>2</xdr:col>
      <xdr:colOff>57150</xdr:colOff>
      <xdr:row>5</xdr:row>
      <xdr:rowOff>85725</xdr:rowOff>
    </xdr:to>
    <xdr:pic>
      <xdr:nvPicPr>
        <xdr:cNvPr id="1" name="Picture 2" descr="facility_sgr_logo"/>
        <xdr:cNvPicPr preferRelativeResize="1">
          <a:picLocks noChangeAspect="1"/>
        </xdr:cNvPicPr>
      </xdr:nvPicPr>
      <xdr:blipFill>
        <a:blip r:embed="rId1"/>
        <a:stretch>
          <a:fillRect/>
        </a:stretch>
      </xdr:blipFill>
      <xdr:spPr>
        <a:xfrm>
          <a:off x="457200" y="104775"/>
          <a:ext cx="1162050" cy="952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2</xdr:col>
      <xdr:colOff>95250</xdr:colOff>
      <xdr:row>4</xdr:row>
      <xdr:rowOff>180975</xdr:rowOff>
    </xdr:to>
    <xdr:pic>
      <xdr:nvPicPr>
        <xdr:cNvPr id="1" name="Picture 1"/>
        <xdr:cNvPicPr preferRelativeResize="1">
          <a:picLocks noChangeAspect="1"/>
        </xdr:cNvPicPr>
      </xdr:nvPicPr>
      <xdr:blipFill>
        <a:blip r:embed="rId1"/>
        <a:stretch>
          <a:fillRect/>
        </a:stretch>
      </xdr:blipFill>
      <xdr:spPr>
        <a:xfrm>
          <a:off x="276225" y="66675"/>
          <a:ext cx="1381125" cy="904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2</xdr:col>
      <xdr:colOff>180975</xdr:colOff>
      <xdr:row>5</xdr:row>
      <xdr:rowOff>28575</xdr:rowOff>
    </xdr:to>
    <xdr:pic>
      <xdr:nvPicPr>
        <xdr:cNvPr id="1" name="Picture 1"/>
        <xdr:cNvPicPr preferRelativeResize="1">
          <a:picLocks noChangeAspect="1"/>
        </xdr:cNvPicPr>
      </xdr:nvPicPr>
      <xdr:blipFill>
        <a:blip r:embed="rId1"/>
        <a:stretch>
          <a:fillRect/>
        </a:stretch>
      </xdr:blipFill>
      <xdr:spPr>
        <a:xfrm>
          <a:off x="276225" y="66675"/>
          <a:ext cx="1466850" cy="9334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2</xdr:col>
      <xdr:colOff>142875</xdr:colOff>
      <xdr:row>5</xdr:row>
      <xdr:rowOff>0</xdr:rowOff>
    </xdr:to>
    <xdr:pic>
      <xdr:nvPicPr>
        <xdr:cNvPr id="1" name="Picture 1"/>
        <xdr:cNvPicPr preferRelativeResize="1">
          <a:picLocks noChangeAspect="1"/>
        </xdr:cNvPicPr>
      </xdr:nvPicPr>
      <xdr:blipFill>
        <a:blip r:embed="rId1"/>
        <a:stretch>
          <a:fillRect/>
        </a:stretch>
      </xdr:blipFill>
      <xdr:spPr>
        <a:xfrm>
          <a:off x="276225" y="66675"/>
          <a:ext cx="1428750" cy="904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2</xdr:col>
      <xdr:colOff>95250</xdr:colOff>
      <xdr:row>4</xdr:row>
      <xdr:rowOff>180975</xdr:rowOff>
    </xdr:to>
    <xdr:pic>
      <xdr:nvPicPr>
        <xdr:cNvPr id="1" name="Picture 1"/>
        <xdr:cNvPicPr preferRelativeResize="1">
          <a:picLocks noChangeAspect="1"/>
        </xdr:cNvPicPr>
      </xdr:nvPicPr>
      <xdr:blipFill>
        <a:blip r:embed="rId1"/>
        <a:stretch>
          <a:fillRect/>
        </a:stretch>
      </xdr:blipFill>
      <xdr:spPr>
        <a:xfrm>
          <a:off x="276225" y="66675"/>
          <a:ext cx="1381125" cy="904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2</xdr:col>
      <xdr:colOff>85725</xdr:colOff>
      <xdr:row>4</xdr:row>
      <xdr:rowOff>180975</xdr:rowOff>
    </xdr:to>
    <xdr:pic>
      <xdr:nvPicPr>
        <xdr:cNvPr id="1" name="Picture 1"/>
        <xdr:cNvPicPr preferRelativeResize="1">
          <a:picLocks noChangeAspect="1"/>
        </xdr:cNvPicPr>
      </xdr:nvPicPr>
      <xdr:blipFill>
        <a:blip r:embed="rId1"/>
        <a:stretch>
          <a:fillRect/>
        </a:stretch>
      </xdr:blipFill>
      <xdr:spPr>
        <a:xfrm>
          <a:off x="276225" y="66675"/>
          <a:ext cx="13716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152400</xdr:rowOff>
    </xdr:from>
    <xdr:to>
      <xdr:col>2</xdr:col>
      <xdr:colOff>200025</xdr:colOff>
      <xdr:row>4</xdr:row>
      <xdr:rowOff>47625</xdr:rowOff>
    </xdr:to>
    <xdr:pic>
      <xdr:nvPicPr>
        <xdr:cNvPr id="1" name="Picture 1"/>
        <xdr:cNvPicPr preferRelativeResize="1">
          <a:picLocks noChangeAspect="1"/>
        </xdr:cNvPicPr>
      </xdr:nvPicPr>
      <xdr:blipFill>
        <a:blip r:link="rId1"/>
        <a:stretch>
          <a:fillRect/>
        </a:stretch>
      </xdr:blipFill>
      <xdr:spPr>
        <a:xfrm>
          <a:off x="95250" y="152400"/>
          <a:ext cx="1666875" cy="6953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2</xdr:col>
      <xdr:colOff>200025</xdr:colOff>
      <xdr:row>5</xdr:row>
      <xdr:rowOff>28575</xdr:rowOff>
    </xdr:to>
    <xdr:pic>
      <xdr:nvPicPr>
        <xdr:cNvPr id="1" name="Picture 1"/>
        <xdr:cNvPicPr preferRelativeResize="1">
          <a:picLocks noChangeAspect="1"/>
        </xdr:cNvPicPr>
      </xdr:nvPicPr>
      <xdr:blipFill>
        <a:blip r:embed="rId1"/>
        <a:stretch>
          <a:fillRect/>
        </a:stretch>
      </xdr:blipFill>
      <xdr:spPr>
        <a:xfrm>
          <a:off x="276225" y="66675"/>
          <a:ext cx="1485900" cy="933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66675</xdr:rowOff>
    </xdr:from>
    <xdr:to>
      <xdr:col>2</xdr:col>
      <xdr:colOff>285750</xdr:colOff>
      <xdr:row>5</xdr:row>
      <xdr:rowOff>85725</xdr:rowOff>
    </xdr:to>
    <xdr:pic>
      <xdr:nvPicPr>
        <xdr:cNvPr id="1" name="Picture 1"/>
        <xdr:cNvPicPr preferRelativeResize="1">
          <a:picLocks noChangeAspect="1"/>
        </xdr:cNvPicPr>
      </xdr:nvPicPr>
      <xdr:blipFill>
        <a:blip r:embed="rId1"/>
        <a:stretch>
          <a:fillRect/>
        </a:stretch>
      </xdr:blipFill>
      <xdr:spPr>
        <a:xfrm>
          <a:off x="276225" y="66675"/>
          <a:ext cx="157162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133350</xdr:rowOff>
    </xdr:from>
    <xdr:to>
      <xdr:col>2</xdr:col>
      <xdr:colOff>257175</xdr:colOff>
      <xdr:row>4</xdr:row>
      <xdr:rowOff>28575</xdr:rowOff>
    </xdr:to>
    <xdr:pic>
      <xdr:nvPicPr>
        <xdr:cNvPr id="1" name="Picture 1"/>
        <xdr:cNvPicPr preferRelativeResize="1">
          <a:picLocks noChangeAspect="1"/>
        </xdr:cNvPicPr>
      </xdr:nvPicPr>
      <xdr:blipFill>
        <a:blip r:link="rId1"/>
        <a:stretch>
          <a:fillRect/>
        </a:stretch>
      </xdr:blipFill>
      <xdr:spPr>
        <a:xfrm>
          <a:off x="152400" y="133350"/>
          <a:ext cx="166687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3</xdr:row>
      <xdr:rowOff>133350</xdr:rowOff>
    </xdr:to>
    <xdr:pic>
      <xdr:nvPicPr>
        <xdr:cNvPr id="1" name="Picture 2"/>
        <xdr:cNvPicPr preferRelativeResize="1">
          <a:picLocks noChangeAspect="1"/>
        </xdr:cNvPicPr>
      </xdr:nvPicPr>
      <xdr:blipFill>
        <a:blip r:embed="rId1"/>
        <a:stretch>
          <a:fillRect/>
        </a:stretch>
      </xdr:blipFill>
      <xdr:spPr>
        <a:xfrm>
          <a:off x="0" y="0"/>
          <a:ext cx="1666875"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1</xdr:row>
      <xdr:rowOff>38100</xdr:rowOff>
    </xdr:from>
    <xdr:to>
      <xdr:col>2</xdr:col>
      <xdr:colOff>447675</xdr:colOff>
      <xdr:row>5</xdr:row>
      <xdr:rowOff>28575</xdr:rowOff>
    </xdr:to>
    <xdr:pic>
      <xdr:nvPicPr>
        <xdr:cNvPr id="1" name="Picture 2"/>
        <xdr:cNvPicPr preferRelativeResize="1">
          <a:picLocks noChangeAspect="1"/>
        </xdr:cNvPicPr>
      </xdr:nvPicPr>
      <xdr:blipFill>
        <a:blip r:embed="rId1"/>
        <a:stretch>
          <a:fillRect/>
        </a:stretch>
      </xdr:blipFill>
      <xdr:spPr>
        <a:xfrm>
          <a:off x="342900" y="266700"/>
          <a:ext cx="166687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228600</xdr:rowOff>
    </xdr:from>
    <xdr:to>
      <xdr:col>2</xdr:col>
      <xdr:colOff>447675</xdr:colOff>
      <xdr:row>5</xdr:row>
      <xdr:rowOff>28575</xdr:rowOff>
    </xdr:to>
    <xdr:pic>
      <xdr:nvPicPr>
        <xdr:cNvPr id="1" name="Picture 2"/>
        <xdr:cNvPicPr preferRelativeResize="1">
          <a:picLocks noChangeAspect="1"/>
        </xdr:cNvPicPr>
      </xdr:nvPicPr>
      <xdr:blipFill>
        <a:blip r:embed="rId1"/>
        <a:stretch>
          <a:fillRect/>
        </a:stretch>
      </xdr:blipFill>
      <xdr:spPr>
        <a:xfrm>
          <a:off x="342900" y="228600"/>
          <a:ext cx="1666875"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228600</xdr:rowOff>
    </xdr:from>
    <xdr:to>
      <xdr:col>2</xdr:col>
      <xdr:colOff>409575</xdr:colOff>
      <xdr:row>5</xdr:row>
      <xdr:rowOff>76200</xdr:rowOff>
    </xdr:to>
    <xdr:pic>
      <xdr:nvPicPr>
        <xdr:cNvPr id="1" name="Picture 2"/>
        <xdr:cNvPicPr preferRelativeResize="1">
          <a:picLocks noChangeAspect="1"/>
        </xdr:cNvPicPr>
      </xdr:nvPicPr>
      <xdr:blipFill>
        <a:blip r:embed="rId1"/>
        <a:stretch>
          <a:fillRect/>
        </a:stretch>
      </xdr:blipFill>
      <xdr:spPr>
        <a:xfrm>
          <a:off x="314325" y="228600"/>
          <a:ext cx="165735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228600</xdr:rowOff>
    </xdr:from>
    <xdr:to>
      <xdr:col>3</xdr:col>
      <xdr:colOff>0</xdr:colOff>
      <xdr:row>5</xdr:row>
      <xdr:rowOff>47625</xdr:rowOff>
    </xdr:to>
    <xdr:pic>
      <xdr:nvPicPr>
        <xdr:cNvPr id="1" name="Picture 2"/>
        <xdr:cNvPicPr preferRelativeResize="1">
          <a:picLocks noChangeAspect="1"/>
        </xdr:cNvPicPr>
      </xdr:nvPicPr>
      <xdr:blipFill>
        <a:blip r:embed="rId1"/>
        <a:stretch>
          <a:fillRect/>
        </a:stretch>
      </xdr:blipFill>
      <xdr:spPr>
        <a:xfrm>
          <a:off x="619125" y="228600"/>
          <a:ext cx="1800225"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66675</xdr:rowOff>
    </xdr:from>
    <xdr:to>
      <xdr:col>2</xdr:col>
      <xdr:colOff>123825</xdr:colOff>
      <xdr:row>5</xdr:row>
      <xdr:rowOff>0</xdr:rowOff>
    </xdr:to>
    <xdr:pic>
      <xdr:nvPicPr>
        <xdr:cNvPr id="1" name="Picture 1" descr="facility_sgr_logo"/>
        <xdr:cNvPicPr preferRelativeResize="1">
          <a:picLocks noChangeAspect="1"/>
        </xdr:cNvPicPr>
      </xdr:nvPicPr>
      <xdr:blipFill>
        <a:blip r:embed="rId1"/>
        <a:stretch>
          <a:fillRect/>
        </a:stretch>
      </xdr:blipFill>
      <xdr:spPr>
        <a:xfrm>
          <a:off x="476250" y="66675"/>
          <a:ext cx="120967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aratogacasino.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aratogagamingandraceway.com/"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tabSelected="1" zoomScalePageLayoutView="0" workbookViewId="0" topLeftCell="A1">
      <selection activeCell="I26" sqref="I26:K26"/>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10.57421875" style="17" customWidth="1"/>
    <col min="7" max="7" width="10.57421875" style="16" customWidth="1"/>
    <col min="8" max="8" width="4.00390625" style="16" customWidth="1"/>
    <col min="9" max="9" width="13.140625" style="16" customWidth="1"/>
    <col min="10" max="10" width="12.57421875" style="16" customWidth="1"/>
    <col min="11" max="11" width="12.8515625" style="16" bestFit="1" customWidth="1"/>
    <col min="12" max="12" width="12.7109375" style="0" customWidth="1"/>
  </cols>
  <sheetData>
    <row r="1" spans="1:11" ht="18">
      <c r="A1" s="70" t="s">
        <v>111</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5">
      <c r="A4" s="72" t="s">
        <v>112</v>
      </c>
      <c r="B4" s="72"/>
      <c r="C4" s="72"/>
      <c r="D4" s="72"/>
      <c r="E4" s="72"/>
      <c r="F4" s="72"/>
      <c r="G4" s="72"/>
      <c r="H4" s="72"/>
      <c r="I4" s="72"/>
      <c r="J4" s="72"/>
      <c r="K4" s="72"/>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74" t="s">
        <v>133</v>
      </c>
      <c r="B8" s="75"/>
      <c r="C8" s="75"/>
      <c r="D8" s="75"/>
      <c r="E8" s="75"/>
      <c r="F8" s="75"/>
      <c r="G8" s="75"/>
      <c r="H8" s="75"/>
      <c r="I8" s="75"/>
      <c r="J8" s="75"/>
      <c r="K8" s="75"/>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76" t="s">
        <v>5</v>
      </c>
      <c r="J10" s="76"/>
      <c r="K10" s="76"/>
    </row>
    <row r="11" spans="1:13" s="1" customFormat="1" ht="12.75">
      <c r="A11" s="3"/>
      <c r="B11" s="5"/>
      <c r="C11" s="5"/>
      <c r="D11" s="5"/>
      <c r="E11" s="5"/>
      <c r="F11" s="6"/>
      <c r="G11" s="5"/>
      <c r="H11" s="5"/>
      <c r="I11" s="5"/>
      <c r="K11" s="5"/>
      <c r="M11" s="5"/>
    </row>
    <row r="12" spans="1:11" s="12" customFormat="1" ht="12">
      <c r="A12" s="9"/>
      <c r="B12" s="10" t="s">
        <v>6</v>
      </c>
      <c r="C12" s="10" t="s">
        <v>75</v>
      </c>
      <c r="D12" s="10" t="s">
        <v>6</v>
      </c>
      <c r="E12" s="10"/>
      <c r="F12" s="11" t="s">
        <v>7</v>
      </c>
      <c r="G12" s="10" t="s">
        <v>8</v>
      </c>
      <c r="H12" s="10"/>
      <c r="I12" s="10" t="s">
        <v>9</v>
      </c>
      <c r="J12" s="10" t="s">
        <v>84</v>
      </c>
      <c r="K12" s="10" t="s">
        <v>83</v>
      </c>
    </row>
    <row r="13" spans="1:11" s="12" customFormat="1" ht="12">
      <c r="A13" s="13" t="s">
        <v>11</v>
      </c>
      <c r="B13" s="8" t="s">
        <v>12</v>
      </c>
      <c r="C13" s="8" t="s">
        <v>19</v>
      </c>
      <c r="D13" s="8" t="s">
        <v>13</v>
      </c>
      <c r="E13" s="8" t="s">
        <v>14</v>
      </c>
      <c r="F13" s="14" t="s">
        <v>15</v>
      </c>
      <c r="G13" s="8" t="s">
        <v>16</v>
      </c>
      <c r="H13" s="15"/>
      <c r="I13" s="8" t="s">
        <v>17</v>
      </c>
      <c r="J13" s="8" t="s">
        <v>85</v>
      </c>
      <c r="K13" s="8" t="s">
        <v>18</v>
      </c>
    </row>
    <row r="15" spans="1:11" ht="12.75">
      <c r="A15" s="68">
        <v>45017</v>
      </c>
      <c r="B15" s="16">
        <v>168351993.57999995</v>
      </c>
      <c r="C15" s="16">
        <v>1135972.8299999996</v>
      </c>
      <c r="D15" s="63">
        <f aca="true" t="shared" si="0" ref="D15:D26">IF(ISBLANK(B15),"",B15-C15-E15)</f>
        <v>155103892.40999994</v>
      </c>
      <c r="E15" s="16">
        <v>12112128.339999996</v>
      </c>
      <c r="F15" s="27">
        <v>1164</v>
      </c>
      <c r="G15" s="63">
        <f>_xlfn.IFERROR((E15/F15/30)," ")</f>
        <v>346.8536179839632</v>
      </c>
      <c r="I15" s="16">
        <v>5632139.670000001</v>
      </c>
      <c r="J15" s="16">
        <v>1211212.8600000003</v>
      </c>
      <c r="K15" s="16">
        <v>5268775.83</v>
      </c>
    </row>
    <row r="16" spans="1:11" ht="12.75">
      <c r="A16" s="68">
        <v>45047</v>
      </c>
      <c r="B16" s="16">
        <v>172131724.74000004</v>
      </c>
      <c r="C16" s="26">
        <v>1133751.05</v>
      </c>
      <c r="D16" s="63">
        <f t="shared" si="0"/>
        <v>159122220.76000002</v>
      </c>
      <c r="E16" s="16">
        <v>11875752.929999998</v>
      </c>
      <c r="F16" s="17">
        <v>1216</v>
      </c>
      <c r="G16" s="63">
        <f>_xlfn.IFERROR((E16/F16/31)," ")</f>
        <v>315.0401350275891</v>
      </c>
      <c r="I16" s="16">
        <v>5522225.130000001</v>
      </c>
      <c r="J16" s="16">
        <v>1187575.2899999996</v>
      </c>
      <c r="K16" s="16">
        <v>5165952.530000002</v>
      </c>
    </row>
    <row r="17" spans="1:11" ht="12.75">
      <c r="A17" s="68">
        <v>45078</v>
      </c>
      <c r="B17" s="16">
        <v>175695736.95000002</v>
      </c>
      <c r="C17" s="26">
        <v>1129947.9500000002</v>
      </c>
      <c r="D17" s="63">
        <f t="shared" si="0"/>
        <v>162112497.54000002</v>
      </c>
      <c r="E17" s="16">
        <v>12453291.460000006</v>
      </c>
      <c r="F17" s="17">
        <v>1224</v>
      </c>
      <c r="G17" s="63">
        <f aca="true" t="shared" si="1" ref="G17:G22">_xlfn.IFERROR((E17/F17/30)," ")</f>
        <v>339.1419242919392</v>
      </c>
      <c r="I17" s="16">
        <v>5790780.53</v>
      </c>
      <c r="J17" s="16">
        <v>1245329.1300000004</v>
      </c>
      <c r="K17" s="16">
        <v>5417181.799999999</v>
      </c>
    </row>
    <row r="18" spans="1:11" ht="12.75">
      <c r="A18" s="68">
        <v>45108</v>
      </c>
      <c r="B18" s="16">
        <v>192933434.27999997</v>
      </c>
      <c r="C18" s="26">
        <v>1226209.73</v>
      </c>
      <c r="D18" s="63">
        <f t="shared" si="0"/>
        <v>178429717.58999997</v>
      </c>
      <c r="E18" s="16">
        <v>13277506.959999997</v>
      </c>
      <c r="F18" s="17">
        <v>1228</v>
      </c>
      <c r="G18" s="63">
        <f>_xlfn.IFERROR((E18/F18/31)," ")</f>
        <v>348.7839382158242</v>
      </c>
      <c r="I18" s="16">
        <v>6174040.75</v>
      </c>
      <c r="J18" s="16">
        <v>1327750.7200000002</v>
      </c>
      <c r="K18" s="16">
        <v>5775715.519999998</v>
      </c>
    </row>
    <row r="19" spans="1:11" ht="12.75">
      <c r="A19" s="68">
        <v>45139</v>
      </c>
      <c r="B19" s="16">
        <v>193491763.63999996</v>
      </c>
      <c r="C19" s="26">
        <v>1138521.0399999998</v>
      </c>
      <c r="D19" s="63">
        <f t="shared" si="0"/>
        <v>179189838.55999997</v>
      </c>
      <c r="E19" s="16">
        <v>13163404.040000003</v>
      </c>
      <c r="F19" s="17">
        <v>1228</v>
      </c>
      <c r="G19" s="63">
        <f>_xlfn.IFERROR((E19/F19/31)," ")</f>
        <v>345.78659346432704</v>
      </c>
      <c r="I19" s="16">
        <v>6120982.9</v>
      </c>
      <c r="J19" s="16">
        <v>1316340.42</v>
      </c>
      <c r="K19" s="16">
        <v>5726080.779999999</v>
      </c>
    </row>
    <row r="20" spans="1:11" ht="12.75">
      <c r="A20" s="68">
        <v>45170</v>
      </c>
      <c r="B20" s="16">
        <v>175727229.86</v>
      </c>
      <c r="C20" s="16">
        <v>1107821.98</v>
      </c>
      <c r="D20" s="63">
        <f t="shared" si="0"/>
        <v>162267386.00000003</v>
      </c>
      <c r="E20" s="16">
        <v>12352021.879999999</v>
      </c>
      <c r="F20" s="17">
        <v>1228</v>
      </c>
      <c r="G20" s="63">
        <f t="shared" si="1"/>
        <v>335.2883246471227</v>
      </c>
      <c r="I20" s="16">
        <v>5743690.1899999995</v>
      </c>
      <c r="J20" s="16">
        <v>1235202.18</v>
      </c>
      <c r="K20" s="26">
        <v>5373129.5200000005</v>
      </c>
    </row>
    <row r="21" spans="1:11" ht="12.75">
      <c r="A21" s="68">
        <v>45200</v>
      </c>
      <c r="B21" s="16">
        <v>162048369.84999996</v>
      </c>
      <c r="C21" s="16">
        <v>1171168.4899999998</v>
      </c>
      <c r="D21" s="63">
        <f t="shared" si="0"/>
        <v>149366483.60999995</v>
      </c>
      <c r="E21" s="16">
        <v>11510717.749999998</v>
      </c>
      <c r="F21" s="17">
        <v>1225</v>
      </c>
      <c r="G21" s="63">
        <f>_xlfn.IFERROR((E21/F21/31)," ")</f>
        <v>303.1130414746543</v>
      </c>
      <c r="I21" s="16">
        <v>5352483.74</v>
      </c>
      <c r="J21" s="16">
        <v>1151071.76</v>
      </c>
      <c r="K21" s="16">
        <v>5007162.220000002</v>
      </c>
    </row>
    <row r="22" spans="1:11" ht="12.75">
      <c r="A22" s="68">
        <v>45231</v>
      </c>
      <c r="B22" s="16">
        <v>147545510.32000005</v>
      </c>
      <c r="C22" s="16">
        <v>988649.7099999997</v>
      </c>
      <c r="D22" s="63">
        <f t="shared" si="0"/>
        <v>136155942.08000004</v>
      </c>
      <c r="E22" s="16">
        <v>10400918.530000001</v>
      </c>
      <c r="F22" s="17">
        <v>1226</v>
      </c>
      <c r="G22" s="63">
        <f t="shared" si="1"/>
        <v>282.7873444806961</v>
      </c>
      <c r="I22" s="16">
        <v>4836427.1</v>
      </c>
      <c r="J22" s="16">
        <v>1040091.8499999999</v>
      </c>
      <c r="K22" s="16">
        <v>4524399.57</v>
      </c>
    </row>
    <row r="23" spans="1:11" ht="12.75">
      <c r="A23" s="68">
        <v>45261</v>
      </c>
      <c r="B23" s="16">
        <v>159339410.37000003</v>
      </c>
      <c r="C23" s="16">
        <v>1042275.8800000001</v>
      </c>
      <c r="D23" s="63">
        <f t="shared" si="0"/>
        <v>146895373.11000004</v>
      </c>
      <c r="E23" s="16">
        <v>11401761.38</v>
      </c>
      <c r="F23" s="17">
        <v>1226</v>
      </c>
      <c r="G23" s="63">
        <f>_xlfn.IFERROR((E23/F23/31)," ")</f>
        <v>299.99898384465615</v>
      </c>
      <c r="I23" s="16">
        <v>5301819.039999999</v>
      </c>
      <c r="J23" s="16">
        <v>1140176.1699999997</v>
      </c>
      <c r="K23" s="16">
        <v>4959766.2</v>
      </c>
    </row>
    <row r="24" spans="1:11" ht="12.75">
      <c r="A24" s="68">
        <v>45292</v>
      </c>
      <c r="B24" s="16">
        <v>145237056.92000002</v>
      </c>
      <c r="C24" s="16">
        <v>1032965.7100000001</v>
      </c>
      <c r="D24" s="63">
        <f t="shared" si="0"/>
        <v>134157940.28</v>
      </c>
      <c r="E24" s="16">
        <v>10046150.930000002</v>
      </c>
      <c r="F24" s="17">
        <v>1223</v>
      </c>
      <c r="G24" s="63">
        <f>_xlfn.IFERROR((E24/F24/31)," ")</f>
        <v>264.9790554691004</v>
      </c>
      <c r="I24" s="16">
        <v>4671460.18</v>
      </c>
      <c r="J24" s="16">
        <v>1004615.1300000002</v>
      </c>
      <c r="K24" s="16">
        <v>4370075.670000001</v>
      </c>
    </row>
    <row r="25" spans="1:11" ht="12.75">
      <c r="A25" s="68">
        <v>45323</v>
      </c>
      <c r="B25" s="16">
        <v>157724728.89</v>
      </c>
      <c r="C25" s="16">
        <v>1034596.2</v>
      </c>
      <c r="D25" s="63">
        <f t="shared" si="0"/>
        <v>145561646.57999998</v>
      </c>
      <c r="E25" s="16">
        <v>11128486.110000001</v>
      </c>
      <c r="F25" s="17">
        <v>1226</v>
      </c>
      <c r="G25" s="63">
        <f>_xlfn.IFERROR((E25/F25/29)," ")</f>
        <v>313.0023656972493</v>
      </c>
      <c r="I25" s="16">
        <v>5174746.029999998</v>
      </c>
      <c r="J25" s="16">
        <v>1112848.6</v>
      </c>
      <c r="K25" s="16">
        <v>4840891.459999999</v>
      </c>
    </row>
    <row r="26" spans="1:11" ht="12.75">
      <c r="A26" s="68">
        <v>45352</v>
      </c>
      <c r="B26" s="16">
        <v>180369791.82000002</v>
      </c>
      <c r="C26" s="16">
        <v>1175483.8900000001</v>
      </c>
      <c r="D26" s="63">
        <f t="shared" si="0"/>
        <v>166323881.47000003</v>
      </c>
      <c r="E26" s="16">
        <v>12870426.459999999</v>
      </c>
      <c r="F26" s="17">
        <v>1226</v>
      </c>
      <c r="G26" s="63">
        <f>_xlfn.IFERROR((E26/F26/31)," ")</f>
        <v>338.64196337420407</v>
      </c>
      <c r="I26" s="16">
        <v>5984748.3</v>
      </c>
      <c r="J26" s="16">
        <v>1287042.6399999997</v>
      </c>
      <c r="K26" s="16">
        <v>5598635.519999999</v>
      </c>
    </row>
    <row r="27" spans="1:11" ht="13.5" thickBot="1">
      <c r="A27" s="60" t="s">
        <v>20</v>
      </c>
      <c r="B27" s="61">
        <f>SUM(B15:B26)</f>
        <v>2030596751.22</v>
      </c>
      <c r="C27" s="61">
        <f>SUM(C15:C26)</f>
        <v>13317364.46</v>
      </c>
      <c r="D27" s="61">
        <f>SUM(D15:D26)</f>
        <v>1874686819.9899998</v>
      </c>
      <c r="E27" s="61">
        <f>SUM(E15:E26)</f>
        <v>142592566.77</v>
      </c>
      <c r="F27" s="62">
        <f>AVERAGE(F15:F26)</f>
        <v>1220</v>
      </c>
      <c r="G27" s="61">
        <f>AVERAGE(G15:G26)</f>
        <v>319.45144066427713</v>
      </c>
      <c r="H27" s="33"/>
      <c r="I27" s="61">
        <f>SUM(I15:I26)</f>
        <v>66305543.56</v>
      </c>
      <c r="J27" s="61">
        <f>SUM(J15:J26)</f>
        <v>14259256.75</v>
      </c>
      <c r="K27" s="61">
        <f>SUM(K15:K26)</f>
        <v>62027766.620000005</v>
      </c>
    </row>
    <row r="28" spans="2:11" ht="10.5" customHeight="1" thickTop="1">
      <c r="B28" s="19"/>
      <c r="C28" s="19"/>
      <c r="D28" s="19"/>
      <c r="E28" s="19"/>
      <c r="I28" s="19"/>
      <c r="J28" s="19"/>
      <c r="K28" s="19"/>
    </row>
    <row r="29" spans="1:11" s="22" customFormat="1" ht="12.75">
      <c r="A29" s="20"/>
      <c r="B29" s="21"/>
      <c r="C29" s="21">
        <f>_xlfn.IFERROR(C27/B27,"")</f>
        <v>0.006558350126384676</v>
      </c>
      <c r="D29" s="21">
        <f>_xlfn.IFERROR(D27/B27,"")</f>
        <v>0.9232196490335522</v>
      </c>
      <c r="E29" s="21">
        <f>_xlfn.IFERROR(E27/B27,"")</f>
        <v>0.07022200084006298</v>
      </c>
      <c r="I29" s="21">
        <f>_xlfn.IFERROR(I27/$E$27,"")</f>
        <v>0.4650000000838052</v>
      </c>
      <c r="J29" s="21">
        <f>_xlfn.IFERROR(J27/$E$27,"")</f>
        <v>0.10000000051194814</v>
      </c>
      <c r="K29" s="21">
        <f>_xlfn.IFERROR(K27/$E$27,"")</f>
        <v>0.43500000052632476</v>
      </c>
    </row>
    <row r="31" spans="1:11" s="23" customFormat="1" ht="12.75">
      <c r="A31" s="74" t="s">
        <v>21</v>
      </c>
      <c r="B31" s="75"/>
      <c r="C31" s="75"/>
      <c r="D31" s="75"/>
      <c r="E31" s="75"/>
      <c r="F31" s="75"/>
      <c r="G31" s="75"/>
      <c r="H31" s="75"/>
      <c r="I31" s="75"/>
      <c r="J31" s="75"/>
      <c r="K31" s="75"/>
    </row>
    <row r="32" ht="12.75">
      <c r="A32" s="24"/>
    </row>
    <row r="33" spans="1:11" s="46" customFormat="1" ht="12.75" customHeight="1">
      <c r="A33" s="42" t="s">
        <v>22</v>
      </c>
      <c r="B33" s="43"/>
      <c r="C33" s="44" t="s">
        <v>97</v>
      </c>
      <c r="D33" s="45"/>
      <c r="E33" s="45"/>
      <c r="F33" s="45"/>
      <c r="G33" s="45"/>
      <c r="H33" s="45"/>
      <c r="I33" s="45"/>
      <c r="J33" s="45"/>
      <c r="K33" s="45"/>
    </row>
    <row r="34" spans="1:11" s="46" customFormat="1" ht="12.75" customHeight="1">
      <c r="A34" s="42"/>
      <c r="B34" s="43"/>
      <c r="C34" s="44" t="s">
        <v>98</v>
      </c>
      <c r="D34" s="45"/>
      <c r="E34" s="45"/>
      <c r="F34" s="45"/>
      <c r="G34" s="45"/>
      <c r="H34" s="45"/>
      <c r="I34" s="45"/>
      <c r="J34" s="45"/>
      <c r="K34" s="45"/>
    </row>
    <row r="35" spans="1:11" s="46" customFormat="1" ht="6" customHeight="1">
      <c r="A35" s="42"/>
      <c r="B35" s="43"/>
      <c r="C35" s="44"/>
      <c r="E35" s="45"/>
      <c r="F35" s="45"/>
      <c r="G35" s="45"/>
      <c r="H35" s="45"/>
      <c r="I35" s="45"/>
      <c r="J35" s="45"/>
      <c r="K35" s="45"/>
    </row>
    <row r="36" spans="1:11" ht="12.75">
      <c r="A36" s="25" t="s">
        <v>100</v>
      </c>
      <c r="B36" s="26"/>
      <c r="C36" s="26" t="s">
        <v>89</v>
      </c>
      <c r="F36" s="26"/>
      <c r="G36" s="26"/>
      <c r="H36" s="26"/>
      <c r="I36" s="26"/>
      <c r="J36" s="26"/>
      <c r="K36" s="26"/>
    </row>
    <row r="37" spans="1:11" s="46" customFormat="1" ht="6" customHeight="1">
      <c r="A37" s="42"/>
      <c r="B37" s="43"/>
      <c r="C37" s="43"/>
      <c r="D37" s="44"/>
      <c r="E37" s="47"/>
      <c r="F37" s="44"/>
      <c r="G37" s="44"/>
      <c r="H37" s="44"/>
      <c r="I37" s="44"/>
      <c r="J37" s="43"/>
      <c r="K37" s="43"/>
    </row>
    <row r="38" spans="1:11" s="46" customFormat="1" ht="12.75">
      <c r="A38" s="42" t="s">
        <v>23</v>
      </c>
      <c r="B38" s="43"/>
      <c r="C38" s="44" t="s">
        <v>104</v>
      </c>
      <c r="E38" s="47"/>
      <c r="F38" s="44"/>
      <c r="G38" s="44"/>
      <c r="H38" s="44"/>
      <c r="I38" s="44"/>
      <c r="J38" s="43"/>
      <c r="K38" s="43"/>
    </row>
    <row r="39" spans="1:11" s="46" customFormat="1" ht="6" customHeight="1">
      <c r="A39" s="42"/>
      <c r="B39" s="43"/>
      <c r="C39" s="43"/>
      <c r="D39" s="44"/>
      <c r="E39" s="47"/>
      <c r="F39" s="44"/>
      <c r="G39" s="44"/>
      <c r="H39" s="44"/>
      <c r="I39" s="44"/>
      <c r="J39" s="43"/>
      <c r="K39" s="43"/>
    </row>
    <row r="40" spans="1:11" s="46" customFormat="1" ht="12.75">
      <c r="A40" s="42" t="s">
        <v>25</v>
      </c>
      <c r="B40" s="43"/>
      <c r="C40" s="43" t="s">
        <v>58</v>
      </c>
      <c r="E40" s="47"/>
      <c r="F40" s="48"/>
      <c r="G40" s="43"/>
      <c r="H40" s="43"/>
      <c r="I40" s="43"/>
      <c r="J40" s="43"/>
      <c r="K40" s="43"/>
    </row>
    <row r="41" spans="1:11" s="46" customFormat="1" ht="12.75">
      <c r="A41" s="42"/>
      <c r="B41" s="43"/>
      <c r="C41" s="43" t="s">
        <v>59</v>
      </c>
      <c r="E41" s="47"/>
      <c r="F41" s="48"/>
      <c r="G41" s="43"/>
      <c r="H41" s="43"/>
      <c r="I41" s="43"/>
      <c r="J41" s="43"/>
      <c r="K41" s="43"/>
    </row>
    <row r="42" spans="1:11" s="46" customFormat="1" ht="6" customHeight="1">
      <c r="A42" s="42"/>
      <c r="B42" s="43"/>
      <c r="C42" s="43"/>
      <c r="D42" s="43"/>
      <c r="E42" s="47"/>
      <c r="F42" s="48"/>
      <c r="G42" s="43"/>
      <c r="H42" s="43"/>
      <c r="I42" s="43"/>
      <c r="J42" s="43"/>
      <c r="K42" s="43"/>
    </row>
    <row r="43" spans="1:11" s="46" customFormat="1" ht="12.75">
      <c r="A43" s="42" t="s">
        <v>28</v>
      </c>
      <c r="B43" s="43"/>
      <c r="C43" s="43" t="s">
        <v>29</v>
      </c>
      <c r="E43" s="47"/>
      <c r="F43" s="48"/>
      <c r="G43" s="43"/>
      <c r="H43" s="43"/>
      <c r="I43" s="43"/>
      <c r="J43" s="43"/>
      <c r="K43" s="43"/>
    </row>
    <row r="44" spans="1:11" s="46" customFormat="1" ht="6" customHeight="1">
      <c r="A44" s="42"/>
      <c r="B44" s="43"/>
      <c r="C44" s="43"/>
      <c r="D44" s="43"/>
      <c r="E44" s="47"/>
      <c r="F44" s="48"/>
      <c r="G44" s="43"/>
      <c r="H44" s="43"/>
      <c r="I44" s="43"/>
      <c r="J44" s="43"/>
      <c r="K44" s="43"/>
    </row>
    <row r="45" spans="1:11" s="46" customFormat="1" ht="12.75">
      <c r="A45" s="42" t="s">
        <v>76</v>
      </c>
      <c r="B45" s="43"/>
      <c r="C45" s="43" t="s">
        <v>79</v>
      </c>
      <c r="D45" s="47"/>
      <c r="E45" s="48"/>
      <c r="F45" s="43"/>
      <c r="G45" s="43"/>
      <c r="H45" s="43"/>
      <c r="I45" s="43"/>
      <c r="J45" s="43"/>
      <c r="K45" s="43"/>
    </row>
    <row r="46" spans="1:11" s="46" customFormat="1" ht="12.75">
      <c r="A46" s="42"/>
      <c r="B46" s="43"/>
      <c r="C46" s="43" t="s">
        <v>86</v>
      </c>
      <c r="D46" s="47"/>
      <c r="E46" s="48"/>
      <c r="F46" s="43"/>
      <c r="G46" s="43"/>
      <c r="H46" s="43"/>
      <c r="I46" s="43"/>
      <c r="J46" s="43"/>
      <c r="K46" s="43"/>
    </row>
    <row r="47" spans="1:11" s="46" customFormat="1" ht="12.75">
      <c r="A47" s="42"/>
      <c r="B47" s="43"/>
      <c r="C47" s="43" t="s">
        <v>87</v>
      </c>
      <c r="D47" s="47"/>
      <c r="E47" s="48"/>
      <c r="F47" s="43"/>
      <c r="G47" s="43"/>
      <c r="H47" s="43"/>
      <c r="I47" s="43"/>
      <c r="J47" s="43"/>
      <c r="K47" s="43"/>
    </row>
    <row r="48" spans="1:11" s="46" customFormat="1" ht="6" customHeight="1">
      <c r="A48" s="42"/>
      <c r="B48" s="43"/>
      <c r="C48" s="43"/>
      <c r="E48" s="47"/>
      <c r="F48" s="48"/>
      <c r="G48" s="43"/>
      <c r="H48" s="43"/>
      <c r="I48" s="43"/>
      <c r="J48" s="43"/>
      <c r="K48" s="43"/>
    </row>
    <row r="49" spans="1:11" s="46" customFormat="1" ht="12.75">
      <c r="A49" s="42" t="s">
        <v>88</v>
      </c>
      <c r="B49" s="43"/>
      <c r="C49" s="43" t="s">
        <v>81</v>
      </c>
      <c r="D49" s="47"/>
      <c r="E49" s="48"/>
      <c r="F49" s="43"/>
      <c r="G49" s="43"/>
      <c r="H49" s="43"/>
      <c r="I49" s="43"/>
      <c r="J49" s="43"/>
      <c r="K49" s="43"/>
    </row>
    <row r="50" spans="1:11" s="46" customFormat="1" ht="12.75">
      <c r="A50" s="49"/>
      <c r="B50" s="43"/>
      <c r="C50" s="43" t="s">
        <v>82</v>
      </c>
      <c r="D50" s="47"/>
      <c r="E50" s="48"/>
      <c r="F50" s="43"/>
      <c r="G50" s="43"/>
      <c r="H50" s="43"/>
      <c r="I50" s="43"/>
      <c r="J50" s="43"/>
      <c r="K50" s="43"/>
    </row>
    <row r="51" spans="1:11" s="46" customFormat="1" ht="3" customHeight="1">
      <c r="A51" s="42"/>
      <c r="B51" s="43"/>
      <c r="C51" s="43"/>
      <c r="D51" s="67"/>
      <c r="E51" s="48"/>
      <c r="F51" s="43"/>
      <c r="G51" s="43"/>
      <c r="H51" s="43"/>
      <c r="I51" s="43"/>
      <c r="J51" s="43"/>
      <c r="K51" s="43"/>
    </row>
    <row r="52" spans="1:11" s="46" customFormat="1" ht="12.75" customHeight="1">
      <c r="A52" s="42"/>
      <c r="B52" s="43"/>
      <c r="C52" s="44" t="s">
        <v>123</v>
      </c>
      <c r="D52" s="44"/>
      <c r="E52" s="44"/>
      <c r="F52" s="44"/>
      <c r="G52" s="44"/>
      <c r="H52" s="44"/>
      <c r="I52" s="44"/>
      <c r="J52" s="44"/>
      <c r="K52" s="44"/>
    </row>
    <row r="53" spans="1:11" s="46" customFormat="1" ht="12.75">
      <c r="A53" s="42"/>
      <c r="B53" s="43"/>
      <c r="C53" s="44" t="s">
        <v>124</v>
      </c>
      <c r="D53" s="44"/>
      <c r="E53" s="44"/>
      <c r="F53" s="44"/>
      <c r="G53" s="44"/>
      <c r="H53" s="44"/>
      <c r="I53" s="44"/>
      <c r="J53" s="44"/>
      <c r="K53" s="44"/>
    </row>
    <row r="54" spans="1:11" s="46" customFormat="1" ht="12.75">
      <c r="A54" s="42"/>
      <c r="B54" s="43"/>
      <c r="C54" s="44" t="s">
        <v>125</v>
      </c>
      <c r="D54" s="44"/>
      <c r="E54" s="44"/>
      <c r="F54" s="44"/>
      <c r="G54" s="44"/>
      <c r="H54" s="44"/>
      <c r="I54" s="44"/>
      <c r="J54" s="44"/>
      <c r="K54" s="44"/>
    </row>
    <row r="55" spans="1:11" s="46" customFormat="1" ht="6" customHeight="1">
      <c r="A55" s="49"/>
      <c r="B55" s="43"/>
      <c r="C55" s="43"/>
      <c r="E55" s="47"/>
      <c r="F55" s="48"/>
      <c r="G55" s="43"/>
      <c r="H55" s="43"/>
      <c r="I55" s="43"/>
      <c r="J55" s="43"/>
      <c r="K55" s="43"/>
    </row>
    <row r="56" spans="1:11" s="46" customFormat="1" ht="12.75">
      <c r="A56" s="42" t="s">
        <v>115</v>
      </c>
      <c r="B56" s="16"/>
      <c r="C56" s="65" t="s">
        <v>126</v>
      </c>
      <c r="D56" s="16"/>
      <c r="E56" s="16"/>
      <c r="F56" s="17"/>
      <c r="G56" s="16"/>
      <c r="H56" s="16"/>
      <c r="I56" s="16"/>
      <c r="J56" s="16"/>
      <c r="K56" s="16"/>
    </row>
    <row r="57" spans="1:11" s="46" customFormat="1" ht="12.75">
      <c r="A57" s="3"/>
      <c r="B57" s="16"/>
      <c r="C57" s="66"/>
      <c r="D57" s="16"/>
      <c r="E57" s="16"/>
      <c r="F57" s="17"/>
      <c r="G57" s="16"/>
      <c r="H57" s="16"/>
      <c r="I57" s="16"/>
      <c r="J57" s="16"/>
      <c r="K57" s="16"/>
    </row>
    <row r="58" spans="1:11" ht="12.75">
      <c r="A58" s="29"/>
      <c r="B58" s="30"/>
      <c r="C58" s="30"/>
      <c r="D58" s="26"/>
      <c r="E58" s="30"/>
      <c r="F58" s="31"/>
      <c r="G58" s="30"/>
      <c r="H58" s="30"/>
      <c r="I58" s="30"/>
      <c r="J58" s="30"/>
      <c r="K58" s="30"/>
    </row>
    <row r="59" spans="1:11" s="23" customFormat="1" ht="12.75">
      <c r="A59" s="74" t="s">
        <v>31</v>
      </c>
      <c r="B59" s="75"/>
      <c r="C59" s="75"/>
      <c r="D59" s="75"/>
      <c r="E59" s="75"/>
      <c r="F59" s="75"/>
      <c r="G59" s="75"/>
      <c r="H59" s="75"/>
      <c r="I59" s="75"/>
      <c r="J59" s="75"/>
      <c r="K59" s="75"/>
    </row>
    <row r="60" ht="12.75">
      <c r="A60" s="24"/>
    </row>
    <row r="61" spans="1:9" ht="13.5">
      <c r="A61" s="32"/>
      <c r="D61" s="10" t="s">
        <v>9</v>
      </c>
      <c r="E61" s="54" t="s">
        <v>84</v>
      </c>
      <c r="F61" s="76" t="s">
        <v>90</v>
      </c>
      <c r="G61" s="76"/>
      <c r="H61" s="76"/>
      <c r="I61" s="76"/>
    </row>
    <row r="62" spans="1:9" ht="12.75">
      <c r="A62" s="35"/>
      <c r="D62" s="8" t="s">
        <v>17</v>
      </c>
      <c r="E62" s="55" t="s">
        <v>85</v>
      </c>
      <c r="F62" s="8" t="s">
        <v>91</v>
      </c>
      <c r="G62" s="56" t="s">
        <v>92</v>
      </c>
      <c r="H62" s="36"/>
      <c r="I62" s="8" t="s">
        <v>93</v>
      </c>
    </row>
    <row r="63" spans="2:9" ht="12.75">
      <c r="B63" s="39"/>
      <c r="C63" s="39"/>
      <c r="D63" s="57">
        <v>0.465</v>
      </c>
      <c r="E63" s="57">
        <v>0.1</v>
      </c>
      <c r="F63" s="57">
        <v>0.335</v>
      </c>
      <c r="G63" s="58">
        <v>0.0875</v>
      </c>
      <c r="H63" s="59"/>
      <c r="I63" s="57">
        <v>0.0125</v>
      </c>
    </row>
    <row r="64" spans="2:11" ht="12.75">
      <c r="B64" s="39"/>
      <c r="C64" s="39"/>
      <c r="D64" s="39"/>
      <c r="E64" s="26"/>
      <c r="F64" s="27"/>
      <c r="G64" s="40"/>
      <c r="H64" s="26"/>
      <c r="I64" s="40"/>
      <c r="J64" s="40"/>
      <c r="K64" s="40"/>
    </row>
    <row r="65" spans="1:11" s="23" customFormat="1" ht="12.75">
      <c r="A65" s="77" t="s">
        <v>41</v>
      </c>
      <c r="B65" s="78"/>
      <c r="C65" s="78"/>
      <c r="D65" s="78"/>
      <c r="E65" s="78"/>
      <c r="F65" s="78"/>
      <c r="G65" s="78"/>
      <c r="H65" s="78"/>
      <c r="I65" s="78"/>
      <c r="J65" s="78"/>
      <c r="K65" s="78"/>
    </row>
    <row r="66" spans="1:6" ht="12.75">
      <c r="A66" s="24"/>
      <c r="E66"/>
      <c r="F66" s="16"/>
    </row>
    <row r="67" spans="1:11" ht="54.75" customHeight="1">
      <c r="A67" s="79" t="s">
        <v>134</v>
      </c>
      <c r="B67" s="80"/>
      <c r="C67" s="80"/>
      <c r="D67" s="80"/>
      <c r="E67" s="80"/>
      <c r="F67" s="80"/>
      <c r="G67" s="80"/>
      <c r="H67" s="80"/>
      <c r="I67" s="80"/>
      <c r="J67" s="80"/>
      <c r="K67" s="80"/>
    </row>
    <row r="68" spans="1:6" ht="12.75">
      <c r="A68" s="16"/>
      <c r="E68"/>
      <c r="F68" s="16"/>
    </row>
    <row r="69" spans="2:5" ht="12.75">
      <c r="B69" s="24" t="s">
        <v>42</v>
      </c>
      <c r="C69" s="24"/>
      <c r="D69" s="24"/>
      <c r="E69" s="16">
        <v>2325592</v>
      </c>
    </row>
    <row r="70" spans="2:5" ht="12.75">
      <c r="B70" s="24" t="s">
        <v>43</v>
      </c>
      <c r="C70" s="24"/>
      <c r="D70" s="24"/>
      <c r="E70" s="16">
        <v>775198</v>
      </c>
    </row>
    <row r="71" spans="2:5" ht="12.75">
      <c r="B71" s="16" t="s">
        <v>32</v>
      </c>
      <c r="D71" s="16" t="s">
        <v>32</v>
      </c>
      <c r="E71" s="16" t="s">
        <v>32</v>
      </c>
    </row>
    <row r="72" ht="12.75">
      <c r="E72" s="16" t="s">
        <v>32</v>
      </c>
    </row>
    <row r="73" ht="12.75">
      <c r="A73" s="28" t="s">
        <v>101</v>
      </c>
    </row>
  </sheetData>
  <sheetProtection/>
  <mergeCells count="12">
    <mergeCell ref="I10:K10"/>
    <mergeCell ref="A31:K31"/>
    <mergeCell ref="A59:K59"/>
    <mergeCell ref="F61:I61"/>
    <mergeCell ref="A65:K65"/>
    <mergeCell ref="A67:K67"/>
    <mergeCell ref="A1:K1"/>
    <mergeCell ref="A2:K2"/>
    <mergeCell ref="A3:K3"/>
    <mergeCell ref="A4:K4"/>
    <mergeCell ref="A5:K5"/>
    <mergeCell ref="A8:K8"/>
  </mergeCells>
  <hyperlinks>
    <hyperlink ref="A4" r:id="rId1" display="www.saratogacasino.com"/>
  </hyperlinks>
  <printOptions horizontalCentered="1"/>
  <pageMargins left="0.25" right="0.25" top="0.75" bottom="0.5" header="0.5" footer="0.5"/>
  <pageSetup fitToHeight="1" fitToWidth="1" horizontalDpi="600" verticalDpi="600" orientation="portrait" scale="78" r:id="rId3"/>
  <ignoredErrors>
    <ignoredError sqref="G16:G17 G20:G21 G22 G25" formula="1"/>
  </ignoredErrors>
  <drawing r:id="rId2"/>
</worksheet>
</file>

<file path=xl/worksheets/sheet10.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94</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4.25">
      <c r="A4" s="83" t="s">
        <v>3</v>
      </c>
      <c r="B4" s="83"/>
      <c r="C4" s="83"/>
      <c r="D4" s="83"/>
      <c r="E4" s="83"/>
      <c r="F4" s="83"/>
      <c r="G4" s="83"/>
      <c r="H4" s="83"/>
      <c r="I4" s="83"/>
      <c r="J4" s="83"/>
      <c r="K4" s="83"/>
      <c r="L4" s="83"/>
      <c r="M4" s="83"/>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105</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41730</v>
      </c>
      <c r="B15" s="16">
        <v>178857491.1</v>
      </c>
      <c r="C15" s="16">
        <f>1384180.45-45135</f>
        <v>1339045.45</v>
      </c>
      <c r="D15" s="16">
        <f aca="true" t="shared" si="0" ref="D15:D26">+B15-C15-E15</f>
        <v>163964458.89000002</v>
      </c>
      <c r="E15" s="16">
        <v>13553986.76</v>
      </c>
      <c r="F15" s="27">
        <f>53460/30</f>
        <v>1782</v>
      </c>
      <c r="G15" s="16">
        <f>E15/F15/30</f>
        <v>253.53510587355032</v>
      </c>
      <c r="I15" s="16">
        <v>6099294.04</v>
      </c>
      <c r="J15" s="16">
        <v>4201735.88</v>
      </c>
      <c r="K15" s="16">
        <v>1355398.7</v>
      </c>
      <c r="L15" s="16">
        <v>1355398.7</v>
      </c>
      <c r="M15" s="16">
        <v>542159.45</v>
      </c>
    </row>
    <row r="16" spans="1:13" ht="12.75">
      <c r="A16" s="3">
        <v>41760</v>
      </c>
      <c r="B16" s="16">
        <v>193639238.03</v>
      </c>
      <c r="C16" s="16">
        <f>1487539.37-42350</f>
        <v>1445189.37</v>
      </c>
      <c r="D16" s="16">
        <f t="shared" si="0"/>
        <v>177429793.18</v>
      </c>
      <c r="E16" s="16">
        <v>14764255.48</v>
      </c>
      <c r="F16" s="17">
        <f>55242/31</f>
        <v>1782</v>
      </c>
      <c r="G16" s="16">
        <f>E16/F16/31</f>
        <v>267.2650425400963</v>
      </c>
      <c r="I16" s="16">
        <v>6643914.98</v>
      </c>
      <c r="J16" s="16">
        <v>4576919.21</v>
      </c>
      <c r="K16" s="16">
        <v>1476425.58</v>
      </c>
      <c r="L16" s="16">
        <v>1476425.57</v>
      </c>
      <c r="M16" s="16">
        <v>590570.23</v>
      </c>
    </row>
    <row r="17" spans="1:13" ht="12.75">
      <c r="A17" s="3">
        <v>41791</v>
      </c>
      <c r="B17" s="16">
        <v>173876157.03</v>
      </c>
      <c r="C17" s="16">
        <f>1454909.24-49370</f>
        <v>1405539.24</v>
      </c>
      <c r="D17" s="16">
        <f t="shared" si="0"/>
        <v>159609139.62</v>
      </c>
      <c r="E17" s="16">
        <v>12861478.17</v>
      </c>
      <c r="F17" s="17">
        <f>53460/30</f>
        <v>1782</v>
      </c>
      <c r="G17" s="16">
        <f>E17/F17/30</f>
        <v>240.58133501683503</v>
      </c>
      <c r="I17" s="16">
        <v>5787665.19</v>
      </c>
      <c r="J17" s="16">
        <v>3987058.24</v>
      </c>
      <c r="K17" s="16">
        <v>1286147.87</v>
      </c>
      <c r="L17" s="16">
        <v>1286147.87</v>
      </c>
      <c r="M17" s="16">
        <v>514459.12</v>
      </c>
    </row>
    <row r="18" spans="1:13" ht="12.75">
      <c r="A18" s="3">
        <v>41821</v>
      </c>
      <c r="B18" s="16">
        <v>190024074.76</v>
      </c>
      <c r="C18" s="16">
        <f>1558083.97-66365</f>
        <v>1491718.97</v>
      </c>
      <c r="D18" s="16">
        <f t="shared" si="0"/>
        <v>174410605.23999998</v>
      </c>
      <c r="E18" s="16">
        <v>14121750.55</v>
      </c>
      <c r="F18" s="17">
        <f>55242/31</f>
        <v>1782</v>
      </c>
      <c r="G18" s="16">
        <f>E18/F18/31</f>
        <v>255.63430994533147</v>
      </c>
      <c r="I18" s="16">
        <v>6354787.75</v>
      </c>
      <c r="J18" s="16">
        <v>4377742.64</v>
      </c>
      <c r="K18" s="16">
        <v>1412175.08</v>
      </c>
      <c r="L18" s="16">
        <v>1412175.08</v>
      </c>
      <c r="M18" s="16">
        <v>564870.03</v>
      </c>
    </row>
    <row r="19" spans="1:13" ht="12.75">
      <c r="A19" s="3">
        <v>41852</v>
      </c>
      <c r="B19" s="16">
        <v>216006622.07</v>
      </c>
      <c r="C19" s="16">
        <f>1707885.8-44635</f>
        <v>1663250.8</v>
      </c>
      <c r="D19" s="16">
        <f t="shared" si="0"/>
        <v>198147626.74999997</v>
      </c>
      <c r="E19" s="16">
        <v>16195744.52</v>
      </c>
      <c r="F19" s="17">
        <f>55242/31</f>
        <v>1782</v>
      </c>
      <c r="G19" s="16">
        <f>E19/F19/31</f>
        <v>293.17809854820604</v>
      </c>
      <c r="I19" s="16">
        <v>7647973.66</v>
      </c>
      <c r="J19" s="16">
        <v>5020680.78</v>
      </c>
      <c r="K19" s="16">
        <v>1619574.47</v>
      </c>
      <c r="L19" s="16">
        <v>1619574.47</v>
      </c>
      <c r="M19" s="16">
        <v>287941.17</v>
      </c>
    </row>
    <row r="20" spans="1:13" ht="12.75">
      <c r="A20" s="3">
        <v>41883</v>
      </c>
      <c r="B20" s="16">
        <v>174754186.17</v>
      </c>
      <c r="C20" s="16">
        <f>1615077.82-51089</f>
        <v>1563988.82</v>
      </c>
      <c r="D20" s="16">
        <f t="shared" si="0"/>
        <v>160586989.42</v>
      </c>
      <c r="E20" s="16">
        <v>12603207.93</v>
      </c>
      <c r="F20" s="17">
        <f>53460/30</f>
        <v>1782</v>
      </c>
      <c r="G20" s="16">
        <f>E20/F20/30</f>
        <v>235.7502418630752</v>
      </c>
      <c r="I20" s="16">
        <v>6175571.86</v>
      </c>
      <c r="J20" s="16">
        <v>3906994.45</v>
      </c>
      <c r="K20" s="16">
        <v>1260320.83</v>
      </c>
      <c r="L20" s="16">
        <v>1260320.83</v>
      </c>
      <c r="M20" s="16">
        <v>0</v>
      </c>
    </row>
    <row r="21" spans="1:13" ht="12.75">
      <c r="A21" s="3">
        <v>41913</v>
      </c>
      <c r="B21" s="16">
        <v>185249778.08</v>
      </c>
      <c r="C21" s="16">
        <f>1864967.23-53255.6</f>
        <v>1811711.63</v>
      </c>
      <c r="D21" s="16">
        <f t="shared" si="0"/>
        <v>170107144.14000002</v>
      </c>
      <c r="E21" s="16">
        <v>13330922.31</v>
      </c>
      <c r="F21" s="17">
        <f>55242/31</f>
        <v>1782</v>
      </c>
      <c r="G21" s="16">
        <f>E21/F21/31</f>
        <v>241.31860377973283</v>
      </c>
      <c r="I21" s="16">
        <v>6532151.9</v>
      </c>
      <c r="J21" s="16">
        <v>4132585.93</v>
      </c>
      <c r="K21" s="16">
        <v>1333092.27</v>
      </c>
      <c r="L21" s="16">
        <v>1333092.27</v>
      </c>
      <c r="M21" s="16">
        <v>0</v>
      </c>
    </row>
    <row r="22" spans="1:13" ht="12.75">
      <c r="A22" s="3">
        <v>41944</v>
      </c>
      <c r="B22" s="16">
        <v>169562841.64</v>
      </c>
      <c r="C22" s="16">
        <f>1671730.67-40730</f>
        <v>1631000.67</v>
      </c>
      <c r="D22" s="16">
        <f t="shared" si="0"/>
        <v>156125161.3</v>
      </c>
      <c r="E22" s="16">
        <v>11806679.67</v>
      </c>
      <c r="F22" s="17">
        <f>53460/30</f>
        <v>1782</v>
      </c>
      <c r="G22" s="16">
        <f>E22/F22/30</f>
        <v>220.85072334455668</v>
      </c>
      <c r="I22" s="16">
        <v>5970033.54</v>
      </c>
      <c r="J22" s="16">
        <v>3660070.67</v>
      </c>
      <c r="K22" s="16">
        <v>995907.48</v>
      </c>
      <c r="L22" s="16">
        <v>1180667.96</v>
      </c>
      <c r="M22" s="16">
        <v>0</v>
      </c>
    </row>
    <row r="23" spans="1:13" ht="12.75">
      <c r="A23" s="3">
        <v>41974</v>
      </c>
      <c r="B23" s="16">
        <v>164769506.27</v>
      </c>
      <c r="C23" s="16">
        <f>1712835.22-48755</f>
        <v>1664080.22</v>
      </c>
      <c r="D23" s="16">
        <f t="shared" si="0"/>
        <v>151036638.12</v>
      </c>
      <c r="E23" s="16">
        <v>12068787.93</v>
      </c>
      <c r="F23" s="17">
        <f>55242/31</f>
        <v>1782</v>
      </c>
      <c r="G23" s="16">
        <f>E23/F23/31</f>
        <v>218.47123438687953</v>
      </c>
      <c r="I23" s="16">
        <v>6155081.87</v>
      </c>
      <c r="J23" s="16">
        <v>3741324.28</v>
      </c>
      <c r="K23" s="16">
        <v>965503.02</v>
      </c>
      <c r="L23" s="16">
        <v>1206878.81</v>
      </c>
      <c r="M23" s="16">
        <v>0</v>
      </c>
    </row>
    <row r="24" spans="1:13" ht="12.75">
      <c r="A24" s="3">
        <v>42005</v>
      </c>
      <c r="B24" s="16">
        <v>161488703.81</v>
      </c>
      <c r="C24" s="16">
        <f>1622767.32-72988</f>
        <v>1549779.32</v>
      </c>
      <c r="D24" s="16">
        <f t="shared" si="0"/>
        <v>148310405.45000002</v>
      </c>
      <c r="E24" s="16">
        <v>11628519.04</v>
      </c>
      <c r="F24" s="17">
        <f>55242/31</f>
        <v>1782</v>
      </c>
      <c r="G24" s="16">
        <f>E24/F24/31</f>
        <v>210.50141269324064</v>
      </c>
      <c r="I24" s="16">
        <v>5930544.7</v>
      </c>
      <c r="J24" s="16">
        <v>3604840.87</v>
      </c>
      <c r="K24" s="16">
        <v>930281.54</v>
      </c>
      <c r="L24" s="16">
        <v>1162851.92</v>
      </c>
      <c r="M24" s="16">
        <v>0</v>
      </c>
    </row>
    <row r="25" spans="1:13" ht="12.75">
      <c r="A25" s="3">
        <v>42036</v>
      </c>
      <c r="B25" s="16">
        <v>159199302.31</v>
      </c>
      <c r="C25" s="16">
        <f>1471764.02-47925</f>
        <v>1423839.02</v>
      </c>
      <c r="D25" s="16">
        <f t="shared" si="0"/>
        <v>146157405.48</v>
      </c>
      <c r="E25" s="16">
        <v>11618057.81</v>
      </c>
      <c r="F25" s="17">
        <f>49896/28</f>
        <v>1782</v>
      </c>
      <c r="G25" s="16">
        <f>E25/F25/28</f>
        <v>232.84547478755812</v>
      </c>
      <c r="I25" s="16">
        <v>5925209.48</v>
      </c>
      <c r="J25" s="16">
        <v>3601597.92</v>
      </c>
      <c r="K25" s="16">
        <v>929444.63</v>
      </c>
      <c r="L25" s="16">
        <v>1161805.8</v>
      </c>
      <c r="M25" s="16">
        <v>0</v>
      </c>
    </row>
    <row r="26" spans="1:13" ht="12.75">
      <c r="A26" s="3">
        <v>42064</v>
      </c>
      <c r="B26" s="16">
        <v>196481582.35</v>
      </c>
      <c r="C26" s="16">
        <f>1766657.53-46792.8</f>
        <v>1719864.73</v>
      </c>
      <c r="D26" s="16">
        <f t="shared" si="0"/>
        <v>180801103.93</v>
      </c>
      <c r="E26" s="16">
        <v>13960613.69</v>
      </c>
      <c r="F26" s="17">
        <f>55242/31</f>
        <v>1782</v>
      </c>
      <c r="G26" s="16">
        <f>E26/F26/31</f>
        <v>252.7173833315231</v>
      </c>
      <c r="I26" s="16">
        <v>7119912.99</v>
      </c>
      <c r="J26" s="16">
        <v>4327790.24</v>
      </c>
      <c r="K26" s="16">
        <v>1116849.11</v>
      </c>
      <c r="L26" s="16">
        <v>1396061.38</v>
      </c>
      <c r="M26" s="16">
        <v>0</v>
      </c>
    </row>
    <row r="27" spans="1:13" ht="13.5" thickBot="1">
      <c r="A27" s="3" t="s">
        <v>20</v>
      </c>
      <c r="B27" s="18">
        <f>SUM(B15:B26)</f>
        <v>2163909483.62</v>
      </c>
      <c r="C27" s="18">
        <f>SUM(C15:C26)</f>
        <v>18709008.240000002</v>
      </c>
      <c r="D27" s="18">
        <f>SUM(D15:D26)</f>
        <v>1986686471.52</v>
      </c>
      <c r="E27" s="18">
        <f>SUM(E15:E26)</f>
        <v>158514003.85999998</v>
      </c>
      <c r="I27" s="18">
        <f>SUM(I15:I26)</f>
        <v>76342141.96</v>
      </c>
      <c r="J27" s="18">
        <f>SUM(J15:J26)</f>
        <v>49139341.11</v>
      </c>
      <c r="K27" s="18">
        <f>SUM(K15:K26)</f>
        <v>14681120.58</v>
      </c>
      <c r="L27" s="18">
        <f>SUM(L15:L26)</f>
        <v>15851400.66</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0.008645929222835023</v>
      </c>
      <c r="D29" s="21">
        <f>D27/B27</f>
        <v>0.9181005428177504</v>
      </c>
      <c r="E29" s="21">
        <f>E27/B27</f>
        <v>0.07325352795941456</v>
      </c>
      <c r="I29" s="21">
        <f>I27/$E$27</f>
        <v>0.4816113409602951</v>
      </c>
      <c r="J29" s="21">
        <f>J27/$E$27</f>
        <v>0.30999999945367607</v>
      </c>
      <c r="K29" s="21">
        <f>K27/$E$27</f>
        <v>0.09261718348220141</v>
      </c>
      <c r="L29" s="21">
        <f>L27/$E$27</f>
        <v>0.10000000172855392</v>
      </c>
      <c r="M29" s="21">
        <f>M27/$E$27</f>
        <v>0.015771477214139434</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104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ht="12.75">
      <c r="A58" s="29"/>
      <c r="B58" s="30"/>
      <c r="C58" s="30"/>
      <c r="D58" s="26"/>
      <c r="E58" s="30"/>
      <c r="F58" s="31"/>
      <c r="G58" s="30"/>
      <c r="H58" s="30"/>
      <c r="I58" s="30"/>
      <c r="J58" s="30"/>
      <c r="K58" s="30"/>
      <c r="L58" s="30"/>
      <c r="M58" s="30"/>
    </row>
    <row r="59" spans="1:13" s="23" customFormat="1" ht="12.75">
      <c r="A59" s="74" t="s">
        <v>31</v>
      </c>
      <c r="B59" s="75"/>
      <c r="C59" s="75"/>
      <c r="D59" s="75"/>
      <c r="E59" s="75"/>
      <c r="F59" s="75"/>
      <c r="G59" s="75"/>
      <c r="H59" s="75"/>
      <c r="I59" s="75"/>
      <c r="J59" s="75"/>
      <c r="K59" s="75"/>
      <c r="L59" s="75"/>
      <c r="M59" s="81"/>
    </row>
    <row r="60" ht="12.75">
      <c r="A60" s="24"/>
    </row>
    <row r="61" spans="1:13" ht="13.5">
      <c r="A61" s="32"/>
      <c r="E61" s="10" t="s">
        <v>9</v>
      </c>
      <c r="F61" s="76" t="s">
        <v>90</v>
      </c>
      <c r="G61" s="76"/>
      <c r="H61" s="76"/>
      <c r="I61" s="76"/>
      <c r="J61" s="10" t="s">
        <v>10</v>
      </c>
      <c r="K61" s="54" t="s">
        <v>84</v>
      </c>
      <c r="L61" s="10" t="s">
        <v>45</v>
      </c>
      <c r="M61" s="34"/>
    </row>
    <row r="62" spans="1:13" ht="12.75">
      <c r="A62" s="35"/>
      <c r="E62" s="8" t="s">
        <v>17</v>
      </c>
      <c r="F62" s="8" t="s">
        <v>91</v>
      </c>
      <c r="G62" s="56" t="s">
        <v>92</v>
      </c>
      <c r="H62" s="36"/>
      <c r="I62" s="8" t="s">
        <v>93</v>
      </c>
      <c r="J62" s="8" t="s">
        <v>19</v>
      </c>
      <c r="K62" s="55" t="s">
        <v>85</v>
      </c>
      <c r="L62" s="8" t="s">
        <v>46</v>
      </c>
      <c r="M62" s="34"/>
    </row>
    <row r="63" spans="2:13" ht="12.75">
      <c r="B63" s="39" t="s">
        <v>55</v>
      </c>
      <c r="C63" s="39"/>
      <c r="D63" s="39"/>
      <c r="E63" s="57">
        <v>0.45</v>
      </c>
      <c r="F63" s="57">
        <v>0.21</v>
      </c>
      <c r="G63" s="58">
        <v>0.0875</v>
      </c>
      <c r="H63" s="59"/>
      <c r="I63" s="57">
        <v>0.0125</v>
      </c>
      <c r="J63" s="57">
        <v>0.1</v>
      </c>
      <c r="K63" s="57">
        <v>0.1</v>
      </c>
      <c r="L63" s="57">
        <v>0.04</v>
      </c>
      <c r="M63" s="38"/>
    </row>
    <row r="64" spans="2:13" ht="12.75">
      <c r="B64" s="39" t="s">
        <v>56</v>
      </c>
      <c r="C64" s="39"/>
      <c r="D64" s="39"/>
      <c r="E64" s="57">
        <v>0.49</v>
      </c>
      <c r="F64" s="57">
        <v>0.21</v>
      </c>
      <c r="G64" s="58">
        <v>0.0875</v>
      </c>
      <c r="H64" s="59"/>
      <c r="I64" s="57">
        <v>0.0125</v>
      </c>
      <c r="J64" s="57">
        <v>0.1</v>
      </c>
      <c r="K64" s="57">
        <v>0.1</v>
      </c>
      <c r="L64" s="57">
        <v>0</v>
      </c>
      <c r="M64" s="38"/>
    </row>
    <row r="65" spans="2:13" ht="12.75">
      <c r="B65" s="39" t="s">
        <v>53</v>
      </c>
      <c r="C65" s="39"/>
      <c r="D65" s="39"/>
      <c r="E65" s="57">
        <v>0.51</v>
      </c>
      <c r="F65" s="57">
        <v>0.21</v>
      </c>
      <c r="G65" s="58">
        <v>0.0875</v>
      </c>
      <c r="H65" s="59"/>
      <c r="I65" s="57">
        <v>0.0125</v>
      </c>
      <c r="J65" s="57">
        <v>0.08</v>
      </c>
      <c r="K65" s="57">
        <v>0.1</v>
      </c>
      <c r="L65" s="57">
        <v>0</v>
      </c>
      <c r="M65" s="38"/>
    </row>
    <row r="66" spans="2:13" ht="12.75">
      <c r="B66" s="39"/>
      <c r="C66" s="39"/>
      <c r="D66" s="39"/>
      <c r="E66" s="26"/>
      <c r="F66" s="27"/>
      <c r="G66" s="40"/>
      <c r="H66" s="26"/>
      <c r="I66" s="40"/>
      <c r="J66" s="40"/>
      <c r="K66" s="40"/>
      <c r="L66" s="40"/>
      <c r="M66" s="38"/>
    </row>
    <row r="67" spans="1:13" s="23" customFormat="1" ht="12.75">
      <c r="A67" s="77" t="s">
        <v>41</v>
      </c>
      <c r="B67" s="78"/>
      <c r="C67" s="78"/>
      <c r="D67" s="78"/>
      <c r="E67" s="78"/>
      <c r="F67" s="78"/>
      <c r="G67" s="78"/>
      <c r="H67" s="78"/>
      <c r="I67" s="78"/>
      <c r="J67" s="78"/>
      <c r="K67" s="78"/>
      <c r="L67" s="78"/>
      <c r="M67" s="82"/>
    </row>
    <row r="68" spans="1:6" ht="12.75">
      <c r="A68" s="24"/>
      <c r="E68"/>
      <c r="F68" s="16"/>
    </row>
    <row r="69" spans="1:13" ht="54.75" customHeight="1">
      <c r="A69" s="79" t="s">
        <v>106</v>
      </c>
      <c r="B69" s="80"/>
      <c r="C69" s="80"/>
      <c r="D69" s="80"/>
      <c r="E69" s="80"/>
      <c r="F69" s="80"/>
      <c r="G69" s="80"/>
      <c r="H69" s="80"/>
      <c r="I69" s="80"/>
      <c r="J69" s="80"/>
      <c r="K69" s="80"/>
      <c r="L69" s="80"/>
      <c r="M69" s="80"/>
    </row>
    <row r="70" spans="1:6" ht="12.75">
      <c r="A70" s="16"/>
      <c r="E70"/>
      <c r="F70" s="16"/>
    </row>
    <row r="71" spans="2:5" ht="12.75">
      <c r="B71" s="24" t="s">
        <v>42</v>
      </c>
      <c r="C71" s="24"/>
      <c r="D71" s="24"/>
      <c r="E71" s="16">
        <v>2325592</v>
      </c>
    </row>
    <row r="72" spans="2:5" ht="12.75">
      <c r="B72" s="24" t="s">
        <v>43</v>
      </c>
      <c r="C72" s="24"/>
      <c r="D72" s="24"/>
      <c r="E72" s="16">
        <v>775198</v>
      </c>
    </row>
    <row r="73" spans="2:5" ht="12.75">
      <c r="B73" s="16" t="s">
        <v>32</v>
      </c>
      <c r="D73" s="16" t="s">
        <v>32</v>
      </c>
      <c r="E73" s="16" t="s">
        <v>32</v>
      </c>
    </row>
    <row r="74" ht="12.75">
      <c r="E74" s="16" t="s">
        <v>32</v>
      </c>
    </row>
    <row r="75" ht="12.75">
      <c r="A75" s="28" t="s">
        <v>101</v>
      </c>
    </row>
  </sheetData>
  <sheetProtection/>
  <mergeCells count="12">
    <mergeCell ref="A1:M1"/>
    <mergeCell ref="A2:M2"/>
    <mergeCell ref="A3:M3"/>
    <mergeCell ref="A4:M4"/>
    <mergeCell ref="A5:M5"/>
    <mergeCell ref="A8:M8"/>
    <mergeCell ref="I10:M10"/>
    <mergeCell ref="A31:M31"/>
    <mergeCell ref="A59:M59"/>
    <mergeCell ref="F61:I61"/>
    <mergeCell ref="A67:M67"/>
    <mergeCell ref="A69:M69"/>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1"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94</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4.25">
      <c r="A4" s="83" t="s">
        <v>3</v>
      </c>
      <c r="B4" s="83"/>
      <c r="C4" s="83"/>
      <c r="D4" s="83"/>
      <c r="E4" s="83"/>
      <c r="F4" s="83"/>
      <c r="G4" s="83"/>
      <c r="H4" s="83"/>
      <c r="I4" s="83"/>
      <c r="J4" s="83"/>
      <c r="K4" s="83"/>
      <c r="L4" s="83"/>
      <c r="M4" s="83"/>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102</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41365</v>
      </c>
      <c r="B15" s="16">
        <v>180156506.92</v>
      </c>
      <c r="C15" s="16">
        <f>1770162.6-40453.3</f>
        <v>1729709.3</v>
      </c>
      <c r="D15" s="16">
        <f aca="true" t="shared" si="0" ref="D15:D26">+B15-C15-E15</f>
        <v>164861933.54999998</v>
      </c>
      <c r="E15" s="16">
        <v>13564864.07</v>
      </c>
      <c r="F15" s="27">
        <f>53460/30</f>
        <v>1782</v>
      </c>
      <c r="G15" s="16">
        <f>E15/F15/30</f>
        <v>253.73857220351664</v>
      </c>
      <c r="I15" s="16">
        <v>6104188.81</v>
      </c>
      <c r="J15" s="16">
        <v>4205107.88</v>
      </c>
      <c r="K15" s="16">
        <v>1356486.4</v>
      </c>
      <c r="L15" s="16">
        <v>1356486.4</v>
      </c>
      <c r="M15" s="16">
        <v>542594.59</v>
      </c>
    </row>
    <row r="16" spans="1:13" ht="12.75">
      <c r="A16" s="3">
        <v>41395</v>
      </c>
      <c r="B16" s="16">
        <v>188136514.34</v>
      </c>
      <c r="C16" s="16">
        <f>1718210.73-55090</f>
        <v>1663120.73</v>
      </c>
      <c r="D16" s="16">
        <f t="shared" si="0"/>
        <v>172304702.60000002</v>
      </c>
      <c r="E16" s="16">
        <v>14168691.01</v>
      </c>
      <c r="F16" s="17">
        <f>55107/31</f>
        <v>1777.6451612903227</v>
      </c>
      <c r="G16" s="16">
        <f>E16/F16/31</f>
        <v>257.1123634021086</v>
      </c>
      <c r="I16" s="16">
        <v>6375910.95</v>
      </c>
      <c r="J16" s="16">
        <v>4392294.23</v>
      </c>
      <c r="K16" s="16">
        <v>1416869.1</v>
      </c>
      <c r="L16" s="16">
        <v>1416869.1</v>
      </c>
      <c r="M16" s="16">
        <v>566747.63</v>
      </c>
    </row>
    <row r="17" spans="1:13" ht="12.75">
      <c r="A17" s="3">
        <v>41426</v>
      </c>
      <c r="B17" s="16">
        <v>183870551.16</v>
      </c>
      <c r="C17" s="16">
        <f>1570869.39-63668.96</f>
        <v>1507200.43</v>
      </c>
      <c r="D17" s="16">
        <f t="shared" si="0"/>
        <v>168145913.45999998</v>
      </c>
      <c r="E17" s="16">
        <v>14217437.27</v>
      </c>
      <c r="F17" s="17">
        <f>53460/30</f>
        <v>1782</v>
      </c>
      <c r="G17" s="16">
        <f>E17/F17/30</f>
        <v>265.94532865693975</v>
      </c>
      <c r="I17" s="16">
        <v>6397846.78</v>
      </c>
      <c r="J17" s="16">
        <v>4407405.55</v>
      </c>
      <c r="K17" s="16">
        <v>1421743.75</v>
      </c>
      <c r="L17" s="16">
        <v>1421743.75</v>
      </c>
      <c r="M17" s="16">
        <v>568697.48</v>
      </c>
    </row>
    <row r="18" spans="1:13" ht="12.75">
      <c r="A18" s="3">
        <v>41456</v>
      </c>
      <c r="B18" s="16">
        <v>186148508.94</v>
      </c>
      <c r="C18" s="16">
        <f>1532581.15-60122</f>
        <v>1472459.15</v>
      </c>
      <c r="D18" s="16">
        <f t="shared" si="0"/>
        <v>170735773.10999998</v>
      </c>
      <c r="E18" s="16">
        <v>13940276.68</v>
      </c>
      <c r="F18" s="17">
        <f>55242/31</f>
        <v>1782</v>
      </c>
      <c r="G18" s="16">
        <f>E18/F18/31</f>
        <v>252.34923934687376</v>
      </c>
      <c r="I18" s="16">
        <v>6273124.51</v>
      </c>
      <c r="J18" s="16">
        <v>4321485.8</v>
      </c>
      <c r="K18" s="16">
        <v>1394027.68</v>
      </c>
      <c r="L18" s="16">
        <v>1394027.68</v>
      </c>
      <c r="M18" s="16">
        <v>557611.05</v>
      </c>
    </row>
    <row r="19" spans="1:13" ht="12.75">
      <c r="A19" s="3">
        <v>41487</v>
      </c>
      <c r="B19" s="16">
        <v>209675455.43</v>
      </c>
      <c r="C19" s="16">
        <f>1725375.88-50044</f>
        <v>1675331.88</v>
      </c>
      <c r="D19" s="16">
        <f t="shared" si="0"/>
        <v>191955137.21</v>
      </c>
      <c r="E19" s="16">
        <v>16044986.34</v>
      </c>
      <c r="F19" s="17">
        <f>55242/31</f>
        <v>1782</v>
      </c>
      <c r="G19" s="16">
        <f>E19/F19/31</f>
        <v>290.44904855001624</v>
      </c>
      <c r="I19" s="16">
        <v>7597694.07</v>
      </c>
      <c r="J19" s="16">
        <v>4973945.76</v>
      </c>
      <c r="K19" s="16">
        <v>1604498.65</v>
      </c>
      <c r="L19" s="16">
        <v>1604498.65</v>
      </c>
      <c r="M19" s="16">
        <v>264349.25</v>
      </c>
    </row>
    <row r="20" spans="1:13" ht="12.75">
      <c r="A20" s="3">
        <v>41518</v>
      </c>
      <c r="B20" s="16">
        <v>169383565.83</v>
      </c>
      <c r="C20" s="16">
        <f>1402487.24-93290.5</f>
        <v>1309196.74</v>
      </c>
      <c r="D20" s="16">
        <f t="shared" si="0"/>
        <v>155076582.22</v>
      </c>
      <c r="E20" s="16">
        <v>12997786.87</v>
      </c>
      <c r="F20" s="17">
        <f>53460/30</f>
        <v>1782</v>
      </c>
      <c r="G20" s="16">
        <f>E20/F20/30</f>
        <v>243.13106752712307</v>
      </c>
      <c r="I20" s="16">
        <v>6368915.59</v>
      </c>
      <c r="J20" s="16">
        <v>4029313.94</v>
      </c>
      <c r="K20" s="16">
        <v>1299778.7</v>
      </c>
      <c r="L20" s="16">
        <v>1299778.7</v>
      </c>
      <c r="M20" s="16">
        <v>0</v>
      </c>
    </row>
    <row r="21" spans="1:13" ht="12.75">
      <c r="A21" s="3">
        <v>41548</v>
      </c>
      <c r="B21" s="16">
        <v>165007773.29</v>
      </c>
      <c r="C21" s="16">
        <f>1236053.87-903278.9</f>
        <v>332774.9700000001</v>
      </c>
      <c r="D21" s="16">
        <f t="shared" si="0"/>
        <v>151298686.03</v>
      </c>
      <c r="E21" s="16">
        <v>13376312.29</v>
      </c>
      <c r="F21" s="17">
        <f>55242/31</f>
        <v>1782</v>
      </c>
      <c r="G21" s="16">
        <f>E21/F21/31</f>
        <v>242.1402608522501</v>
      </c>
      <c r="I21" s="16">
        <v>6554393.03</v>
      </c>
      <c r="J21" s="16">
        <v>4146656.8</v>
      </c>
      <c r="K21" s="16">
        <v>1337631.25</v>
      </c>
      <c r="L21" s="16">
        <v>1337631.25</v>
      </c>
      <c r="M21" s="16">
        <v>0</v>
      </c>
    </row>
    <row r="22" spans="1:13" ht="12.75">
      <c r="A22" s="3">
        <v>41579</v>
      </c>
      <c r="B22" s="16">
        <v>158332983.47</v>
      </c>
      <c r="C22" s="16">
        <v>1140513.02</v>
      </c>
      <c r="D22" s="16">
        <f t="shared" si="0"/>
        <v>145023010.25</v>
      </c>
      <c r="E22" s="16">
        <v>12169460.2</v>
      </c>
      <c r="F22" s="17">
        <f>53460/30</f>
        <v>1782</v>
      </c>
      <c r="G22" s="16">
        <f>E22/F22/30</f>
        <v>227.6367414889637</v>
      </c>
      <c r="I22" s="16">
        <v>6172109.59</v>
      </c>
      <c r="J22" s="16">
        <v>3772532.64</v>
      </c>
      <c r="K22" s="16">
        <v>1007871.92</v>
      </c>
      <c r="L22" s="16">
        <v>1216946.04</v>
      </c>
      <c r="M22" s="16">
        <v>0</v>
      </c>
    </row>
    <row r="23" spans="1:13" ht="12.75">
      <c r="A23" s="3">
        <v>41609</v>
      </c>
      <c r="B23" s="16">
        <v>141896169.01</v>
      </c>
      <c r="C23" s="16">
        <f>1006787.62-84093</f>
        <v>922694.62</v>
      </c>
      <c r="D23" s="16">
        <f t="shared" si="0"/>
        <v>129985021.82</v>
      </c>
      <c r="E23" s="16">
        <v>10988452.57</v>
      </c>
      <c r="F23" s="17">
        <f>55242/31</f>
        <v>1782</v>
      </c>
      <c r="G23" s="16">
        <f>E23/F23/31</f>
        <v>198.9148215126172</v>
      </c>
      <c r="I23" s="16">
        <v>5604110.81</v>
      </c>
      <c r="J23" s="16">
        <v>3406420.29</v>
      </c>
      <c r="K23" s="16">
        <v>879076.19</v>
      </c>
      <c r="L23" s="16">
        <v>1098845.45</v>
      </c>
      <c r="M23" s="16">
        <v>0</v>
      </c>
    </row>
    <row r="24" spans="1:13" ht="12.75">
      <c r="A24" s="3">
        <v>41640</v>
      </c>
      <c r="B24" s="16">
        <v>148905494.08</v>
      </c>
      <c r="C24" s="16">
        <f>1177456.18-45435</f>
        <v>1132021.18</v>
      </c>
      <c r="D24" s="16">
        <f t="shared" si="0"/>
        <v>136433121.49</v>
      </c>
      <c r="E24" s="16">
        <v>11340351.41</v>
      </c>
      <c r="F24" s="17">
        <f>55242/31</f>
        <v>1782</v>
      </c>
      <c r="G24" s="16">
        <f>E24/F24/31</f>
        <v>205.28495365844827</v>
      </c>
      <c r="I24" s="16">
        <v>5783579.21</v>
      </c>
      <c r="J24" s="16">
        <v>3515508.94</v>
      </c>
      <c r="K24" s="16">
        <v>907228.12</v>
      </c>
      <c r="L24" s="16">
        <v>1134035.18</v>
      </c>
      <c r="M24" s="16">
        <v>0</v>
      </c>
    </row>
    <row r="25" spans="1:13" ht="12.75">
      <c r="A25" s="3">
        <v>41671</v>
      </c>
      <c r="B25" s="16">
        <v>153405882.18</v>
      </c>
      <c r="C25" s="16">
        <f>1165469.72-46804.6</f>
        <v>1118665.1199999999</v>
      </c>
      <c r="D25" s="16">
        <f t="shared" si="0"/>
        <v>140500028.67000002</v>
      </c>
      <c r="E25" s="16">
        <v>11787188.39</v>
      </c>
      <c r="F25" s="17">
        <f>49896/28</f>
        <v>1782</v>
      </c>
      <c r="G25" s="16">
        <f>E25/F25/28</f>
        <v>236.23513688472025</v>
      </c>
      <c r="I25" s="16">
        <v>6011466.1</v>
      </c>
      <c r="J25" s="16">
        <v>3654028.39</v>
      </c>
      <c r="K25" s="16">
        <v>942975.07</v>
      </c>
      <c r="L25" s="16">
        <v>1178718.84</v>
      </c>
      <c r="M25" s="16">
        <v>0</v>
      </c>
    </row>
    <row r="26" spans="1:13" ht="12.75">
      <c r="A26" s="3">
        <v>41699</v>
      </c>
      <c r="B26" s="16">
        <v>186756623.73</v>
      </c>
      <c r="C26" s="16">
        <v>1474285.63</v>
      </c>
      <c r="D26" s="16">
        <f t="shared" si="0"/>
        <v>170951352.82999998</v>
      </c>
      <c r="E26" s="16">
        <v>14330985.27</v>
      </c>
      <c r="F26" s="17">
        <f>55242/31</f>
        <v>1782</v>
      </c>
      <c r="G26" s="16">
        <f>E26/F26/31</f>
        <v>259.42191213207343</v>
      </c>
      <c r="I26" s="16">
        <v>7308802.48</v>
      </c>
      <c r="J26" s="16">
        <v>4442605.4</v>
      </c>
      <c r="K26" s="16">
        <v>1146478.82</v>
      </c>
      <c r="L26" s="16">
        <v>1433098.54</v>
      </c>
      <c r="M26" s="16">
        <v>0</v>
      </c>
    </row>
    <row r="27" spans="1:13" ht="13.5" thickBot="1">
      <c r="A27" s="3" t="s">
        <v>20</v>
      </c>
      <c r="B27" s="18">
        <f>SUM(B15:B26)</f>
        <v>2071676028.3799999</v>
      </c>
      <c r="C27" s="18">
        <f>SUM(C15:C26)</f>
        <v>15477972.769999996</v>
      </c>
      <c r="D27" s="18">
        <f>SUM(D15:D26)</f>
        <v>1897271263.24</v>
      </c>
      <c r="E27" s="18">
        <f>SUM(E15:E26)</f>
        <v>158926792.37000003</v>
      </c>
      <c r="I27" s="18">
        <f>SUM(I15:I26)</f>
        <v>76552141.93</v>
      </c>
      <c r="J27" s="18">
        <f>SUM(J15:J26)</f>
        <v>49267305.62</v>
      </c>
      <c r="K27" s="18">
        <f>SUM(K15:K26)</f>
        <v>14714665.649999999</v>
      </c>
      <c r="L27" s="18">
        <f>SUM(L15:L26)</f>
        <v>15892679.579999998</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0.0074712322573445</v>
      </c>
      <c r="D29" s="21">
        <f>D27/B27</f>
        <v>0.9158146530872493</v>
      </c>
      <c r="E29" s="21">
        <f>E27/B27</f>
        <v>0.07671411465540628</v>
      </c>
      <c r="I29" s="21">
        <f>I27/$E$27</f>
        <v>0.4816817906434412</v>
      </c>
      <c r="J29" s="21">
        <f>J27/$E$27</f>
        <v>0.3099999999075045</v>
      </c>
      <c r="K29" s="21">
        <f>K27/$E$27</f>
        <v>0.09258769670341391</v>
      </c>
      <c r="L29" s="21">
        <f>L27/$E$27</f>
        <v>0.10000000215822637</v>
      </c>
      <c r="M29" s="21">
        <f>M27/$E$27</f>
        <v>0.015730513167217956</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104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ht="12.75">
      <c r="A58" s="29"/>
      <c r="B58" s="30"/>
      <c r="C58" s="30"/>
      <c r="D58" s="26"/>
      <c r="E58" s="30"/>
      <c r="F58" s="31"/>
      <c r="G58" s="30"/>
      <c r="H58" s="30"/>
      <c r="I58" s="30"/>
      <c r="J58" s="30"/>
      <c r="K58" s="30"/>
      <c r="L58" s="30"/>
      <c r="M58" s="30"/>
    </row>
    <row r="59" spans="1:13" s="23" customFormat="1" ht="12.75">
      <c r="A59" s="74" t="s">
        <v>31</v>
      </c>
      <c r="B59" s="75"/>
      <c r="C59" s="75"/>
      <c r="D59" s="75"/>
      <c r="E59" s="75"/>
      <c r="F59" s="75"/>
      <c r="G59" s="75"/>
      <c r="H59" s="75"/>
      <c r="I59" s="75"/>
      <c r="J59" s="75"/>
      <c r="K59" s="75"/>
      <c r="L59" s="75"/>
      <c r="M59" s="81"/>
    </row>
    <row r="60" ht="12.75">
      <c r="A60" s="24"/>
    </row>
    <row r="61" spans="1:13" ht="13.5">
      <c r="A61" s="32"/>
      <c r="E61" s="10" t="s">
        <v>9</v>
      </c>
      <c r="F61" s="76" t="s">
        <v>90</v>
      </c>
      <c r="G61" s="76"/>
      <c r="H61" s="76"/>
      <c r="I61" s="76"/>
      <c r="J61" s="10" t="s">
        <v>10</v>
      </c>
      <c r="K61" s="54" t="s">
        <v>84</v>
      </c>
      <c r="L61" s="10" t="s">
        <v>45</v>
      </c>
      <c r="M61" s="34"/>
    </row>
    <row r="62" spans="1:13" ht="12.75">
      <c r="A62" s="35"/>
      <c r="E62" s="8" t="s">
        <v>17</v>
      </c>
      <c r="F62" s="8" t="s">
        <v>91</v>
      </c>
      <c r="G62" s="56" t="s">
        <v>92</v>
      </c>
      <c r="H62" s="36"/>
      <c r="I62" s="8" t="s">
        <v>93</v>
      </c>
      <c r="J62" s="8" t="s">
        <v>19</v>
      </c>
      <c r="K62" s="55" t="s">
        <v>85</v>
      </c>
      <c r="L62" s="8" t="s">
        <v>46</v>
      </c>
      <c r="M62" s="34"/>
    </row>
    <row r="63" spans="2:13" ht="12.75">
      <c r="B63" s="39" t="s">
        <v>55</v>
      </c>
      <c r="C63" s="39"/>
      <c r="D63" s="39"/>
      <c r="E63" s="57">
        <v>0.45</v>
      </c>
      <c r="F63" s="57">
        <v>0.21</v>
      </c>
      <c r="G63" s="58">
        <v>0.0875</v>
      </c>
      <c r="H63" s="59"/>
      <c r="I63" s="57">
        <v>0.0125</v>
      </c>
      <c r="J63" s="57">
        <v>0.1</v>
      </c>
      <c r="K63" s="57">
        <v>0.1</v>
      </c>
      <c r="L63" s="57">
        <v>0.04</v>
      </c>
      <c r="M63" s="38"/>
    </row>
    <row r="64" spans="2:13" ht="12.75">
      <c r="B64" s="39" t="s">
        <v>56</v>
      </c>
      <c r="C64" s="39"/>
      <c r="D64" s="39"/>
      <c r="E64" s="57">
        <v>0.49</v>
      </c>
      <c r="F64" s="57">
        <v>0.21</v>
      </c>
      <c r="G64" s="58">
        <v>0.0875</v>
      </c>
      <c r="H64" s="59"/>
      <c r="I64" s="57">
        <v>0.0125</v>
      </c>
      <c r="J64" s="57">
        <v>0.1</v>
      </c>
      <c r="K64" s="57">
        <v>0.1</v>
      </c>
      <c r="L64" s="57">
        <v>0</v>
      </c>
      <c r="M64" s="38"/>
    </row>
    <row r="65" spans="2:13" ht="12.75">
      <c r="B65" s="39" t="s">
        <v>53</v>
      </c>
      <c r="C65" s="39"/>
      <c r="D65" s="39"/>
      <c r="E65" s="57">
        <v>0.51</v>
      </c>
      <c r="F65" s="57">
        <v>0.21</v>
      </c>
      <c r="G65" s="58">
        <v>0.0875</v>
      </c>
      <c r="H65" s="59"/>
      <c r="I65" s="57">
        <v>0.0125</v>
      </c>
      <c r="J65" s="57">
        <v>0.08</v>
      </c>
      <c r="K65" s="57">
        <v>0.1</v>
      </c>
      <c r="L65" s="57">
        <v>0</v>
      </c>
      <c r="M65" s="38"/>
    </row>
    <row r="66" spans="2:13" ht="12.75">
      <c r="B66" s="39"/>
      <c r="C66" s="39"/>
      <c r="D66" s="39"/>
      <c r="E66" s="26"/>
      <c r="F66" s="27"/>
      <c r="G66" s="40"/>
      <c r="H66" s="26"/>
      <c r="I66" s="40"/>
      <c r="J66" s="40"/>
      <c r="K66" s="40"/>
      <c r="L66" s="40"/>
      <c r="M66" s="38"/>
    </row>
    <row r="67" spans="1:13" s="23" customFormat="1" ht="12.75">
      <c r="A67" s="77" t="s">
        <v>41</v>
      </c>
      <c r="B67" s="78"/>
      <c r="C67" s="78"/>
      <c r="D67" s="78"/>
      <c r="E67" s="78"/>
      <c r="F67" s="78"/>
      <c r="G67" s="78"/>
      <c r="H67" s="78"/>
      <c r="I67" s="78"/>
      <c r="J67" s="78"/>
      <c r="K67" s="78"/>
      <c r="L67" s="78"/>
      <c r="M67" s="82"/>
    </row>
    <row r="68" spans="1:6" ht="12.75">
      <c r="A68" s="24"/>
      <c r="E68"/>
      <c r="F68" s="16"/>
    </row>
    <row r="69" spans="1:13" ht="54.75" customHeight="1">
      <c r="A69" s="79" t="s">
        <v>103</v>
      </c>
      <c r="B69" s="80"/>
      <c r="C69" s="80"/>
      <c r="D69" s="80"/>
      <c r="E69" s="80"/>
      <c r="F69" s="80"/>
      <c r="G69" s="80"/>
      <c r="H69" s="80"/>
      <c r="I69" s="80"/>
      <c r="J69" s="80"/>
      <c r="K69" s="80"/>
      <c r="L69" s="80"/>
      <c r="M69" s="80"/>
    </row>
    <row r="70" spans="1:6" ht="12.75">
      <c r="A70" s="16"/>
      <c r="E70"/>
      <c r="F70" s="16"/>
    </row>
    <row r="71" spans="2:5" ht="12.75">
      <c r="B71" s="24" t="s">
        <v>42</v>
      </c>
      <c r="C71" s="24"/>
      <c r="D71" s="24"/>
      <c r="E71" s="16">
        <v>1827251</v>
      </c>
    </row>
    <row r="72" spans="2:5" ht="12.75">
      <c r="B72" s="24" t="s">
        <v>43</v>
      </c>
      <c r="C72" s="24"/>
      <c r="D72" s="24"/>
      <c r="E72" s="16">
        <v>609084</v>
      </c>
    </row>
    <row r="73" spans="2:5" ht="12.75">
      <c r="B73" s="16" t="s">
        <v>32</v>
      </c>
      <c r="D73" s="16" t="s">
        <v>32</v>
      </c>
      <c r="E73" s="16" t="s">
        <v>32</v>
      </c>
    </row>
    <row r="74" ht="12.75">
      <c r="E74" s="16" t="s">
        <v>32</v>
      </c>
    </row>
    <row r="75" ht="12.75">
      <c r="A75" s="28" t="s">
        <v>101</v>
      </c>
    </row>
  </sheetData>
  <sheetProtection/>
  <mergeCells count="12">
    <mergeCell ref="I10:M10"/>
    <mergeCell ref="A31:M31"/>
    <mergeCell ref="A59:M59"/>
    <mergeCell ref="F61:I61"/>
    <mergeCell ref="A67:M67"/>
    <mergeCell ref="A69:M69"/>
    <mergeCell ref="A1:M1"/>
    <mergeCell ref="A2:M2"/>
    <mergeCell ref="A3:M3"/>
    <mergeCell ref="A4:M4"/>
    <mergeCell ref="A5:M5"/>
    <mergeCell ref="A8:M8"/>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1"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94</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4.25">
      <c r="A4" s="83" t="s">
        <v>3</v>
      </c>
      <c r="B4" s="83"/>
      <c r="C4" s="83"/>
      <c r="D4" s="83"/>
      <c r="E4" s="83"/>
      <c r="F4" s="83"/>
      <c r="G4" s="83"/>
      <c r="H4" s="83"/>
      <c r="I4" s="83"/>
      <c r="J4" s="83"/>
      <c r="K4" s="83"/>
      <c r="L4" s="83"/>
      <c r="M4" s="83"/>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96</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41000</v>
      </c>
      <c r="B15" s="16">
        <v>180493806.72</v>
      </c>
      <c r="C15" s="16">
        <f>1668655.85-1076557.2</f>
        <v>592098.6500000001</v>
      </c>
      <c r="D15" s="16">
        <f aca="true" t="shared" si="0" ref="D15:D26">+B15-C15-E15</f>
        <v>165615013.87</v>
      </c>
      <c r="E15" s="16">
        <v>14286694.2</v>
      </c>
      <c r="F15" s="27">
        <f>53340/30</f>
        <v>1778</v>
      </c>
      <c r="G15" s="16">
        <f>E15/F15/30</f>
        <v>267.84203599550057</v>
      </c>
      <c r="I15" s="16">
        <v>6429012.39</v>
      </c>
      <c r="J15" s="16">
        <v>4428875.22</v>
      </c>
      <c r="K15" s="16">
        <v>1428669.4</v>
      </c>
      <c r="L15" s="16">
        <v>1428669.39</v>
      </c>
      <c r="M15" s="16">
        <v>571467.79</v>
      </c>
    </row>
    <row r="16" spans="1:13" ht="12.75">
      <c r="A16" s="3">
        <v>41030</v>
      </c>
      <c r="B16" s="16">
        <v>179352420.68</v>
      </c>
      <c r="C16" s="16">
        <f>1573658-65850</f>
        <v>1507808</v>
      </c>
      <c r="D16" s="16">
        <f t="shared" si="0"/>
        <v>164415280.08</v>
      </c>
      <c r="E16" s="16">
        <v>13429332.6</v>
      </c>
      <c r="F16" s="17">
        <f>55118/31</f>
        <v>1778</v>
      </c>
      <c r="G16" s="16">
        <f>E16/F16/31</f>
        <v>243.64695017961463</v>
      </c>
      <c r="I16" s="16">
        <v>6043199.67</v>
      </c>
      <c r="J16" s="16">
        <v>4163093.11</v>
      </c>
      <c r="K16" s="16">
        <v>1342933.28</v>
      </c>
      <c r="L16" s="16">
        <v>1342933.28</v>
      </c>
      <c r="M16" s="16">
        <v>537173.33</v>
      </c>
    </row>
    <row r="17" spans="1:13" ht="12.75">
      <c r="A17" s="3">
        <v>41061</v>
      </c>
      <c r="B17" s="16">
        <v>181687789.53</v>
      </c>
      <c r="C17" s="16">
        <f>1509879.83-46039.9</f>
        <v>1463839.9300000002</v>
      </c>
      <c r="D17" s="16">
        <f t="shared" si="0"/>
        <v>166817791.59</v>
      </c>
      <c r="E17" s="16">
        <v>13406158.01</v>
      </c>
      <c r="F17" s="17">
        <f>53340/30</f>
        <v>1778</v>
      </c>
      <c r="G17" s="16">
        <f>E17/F17/30</f>
        <v>251.33404593175854</v>
      </c>
      <c r="I17" s="16">
        <v>6032771.12</v>
      </c>
      <c r="J17" s="16">
        <v>4155908.96</v>
      </c>
      <c r="K17" s="16">
        <v>1340615.82</v>
      </c>
      <c r="L17" s="16">
        <v>1340615.82</v>
      </c>
      <c r="M17" s="16">
        <v>536246.33</v>
      </c>
    </row>
    <row r="18" spans="1:13" ht="12.75">
      <c r="A18" s="3">
        <v>41091</v>
      </c>
      <c r="B18" s="16">
        <v>187780621.51</v>
      </c>
      <c r="C18" s="16">
        <v>1440995.69</v>
      </c>
      <c r="D18" s="16">
        <f t="shared" si="0"/>
        <v>171982665.59</v>
      </c>
      <c r="E18" s="16">
        <v>14356960.23</v>
      </c>
      <c r="F18" s="17">
        <f>55170/31</f>
        <v>1779.6774193548388</v>
      </c>
      <c r="G18" s="16">
        <f>E18/F18/31</f>
        <v>260.23128928765635</v>
      </c>
      <c r="I18" s="16">
        <v>6460632.13</v>
      </c>
      <c r="J18" s="16">
        <v>4450657.68</v>
      </c>
      <c r="K18" s="16">
        <v>1435696.05</v>
      </c>
      <c r="L18" s="16">
        <v>1435696.04</v>
      </c>
      <c r="M18" s="16">
        <v>574278.41</v>
      </c>
    </row>
    <row r="19" spans="1:13" ht="12.75">
      <c r="A19" s="3">
        <v>41122</v>
      </c>
      <c r="B19" s="16">
        <v>203876536.25</v>
      </c>
      <c r="C19" s="16">
        <f>1434871.19-46830</f>
        <v>1388041.19</v>
      </c>
      <c r="D19" s="16">
        <f t="shared" si="0"/>
        <v>186874472.1</v>
      </c>
      <c r="E19" s="16">
        <v>15614022.96</v>
      </c>
      <c r="F19" s="17">
        <f>55242/31</f>
        <v>1782</v>
      </c>
      <c r="G19" s="16">
        <f>E19/F19/31</f>
        <v>282.6476767676767</v>
      </c>
      <c r="I19" s="16">
        <v>7370037.13</v>
      </c>
      <c r="J19" s="16">
        <v>4840347.09</v>
      </c>
      <c r="K19" s="16">
        <v>1561402.33</v>
      </c>
      <c r="L19" s="16">
        <v>1561402.33</v>
      </c>
      <c r="M19" s="16">
        <v>280834.17</v>
      </c>
    </row>
    <row r="20" spans="1:13" ht="12.75">
      <c r="A20" s="3">
        <v>41153</v>
      </c>
      <c r="B20" s="16">
        <v>173112266.5</v>
      </c>
      <c r="C20" s="16">
        <f>1147886.33-61657.9</f>
        <v>1086228.4300000002</v>
      </c>
      <c r="D20" s="16">
        <f t="shared" si="0"/>
        <v>158422478.57999998</v>
      </c>
      <c r="E20" s="16">
        <v>13603559.49</v>
      </c>
      <c r="F20" s="17">
        <f>53460/30</f>
        <v>1782</v>
      </c>
      <c r="G20" s="16">
        <f>E20/F20/30</f>
        <v>254.46239225589224</v>
      </c>
      <c r="I20" s="16">
        <v>6665744.16</v>
      </c>
      <c r="J20" s="16">
        <v>4217103.44</v>
      </c>
      <c r="K20" s="16">
        <v>1360355.96</v>
      </c>
      <c r="L20" s="16">
        <v>1360355.96</v>
      </c>
      <c r="M20" s="16">
        <v>0</v>
      </c>
    </row>
    <row r="21" spans="1:13" ht="12.75">
      <c r="A21" s="3">
        <v>41183</v>
      </c>
      <c r="B21" s="16">
        <v>163180254.36</v>
      </c>
      <c r="C21" s="16">
        <f>1182475.06-38917.97</f>
        <v>1143557.09</v>
      </c>
      <c r="D21" s="16">
        <f t="shared" si="0"/>
        <v>149722699.96</v>
      </c>
      <c r="E21" s="16">
        <v>12313997.31</v>
      </c>
      <c r="F21" s="17">
        <f>55242/31</f>
        <v>1782</v>
      </c>
      <c r="G21" s="16">
        <f>E21/F21/31</f>
        <v>222.9100559357011</v>
      </c>
      <c r="I21" s="16">
        <v>6033858.68</v>
      </c>
      <c r="J21" s="16">
        <v>3817339.14</v>
      </c>
      <c r="K21" s="16">
        <v>1231399.76</v>
      </c>
      <c r="L21" s="16">
        <v>1231399.76</v>
      </c>
      <c r="M21" s="16">
        <v>0</v>
      </c>
    </row>
    <row r="22" spans="1:13" ht="12.75">
      <c r="A22" s="3">
        <v>41214</v>
      </c>
      <c r="B22" s="16">
        <v>158763114.23</v>
      </c>
      <c r="C22" s="16">
        <f>1190581.31-38170.49</f>
        <v>1152410.82</v>
      </c>
      <c r="D22" s="16">
        <f t="shared" si="0"/>
        <v>145555291.35</v>
      </c>
      <c r="E22" s="16">
        <v>12055412.06</v>
      </c>
      <c r="F22" s="17">
        <f>53460/30</f>
        <v>1782</v>
      </c>
      <c r="G22" s="16">
        <f>E22/F22/30</f>
        <v>225.50340553685</v>
      </c>
      <c r="I22" s="16">
        <v>6088474.63</v>
      </c>
      <c r="J22" s="16">
        <v>3737177.76</v>
      </c>
      <c r="K22" s="16">
        <v>1024218.48</v>
      </c>
      <c r="L22" s="16">
        <v>1205541.22</v>
      </c>
      <c r="M22" s="16">
        <v>0</v>
      </c>
    </row>
    <row r="23" spans="1:13" ht="12.75">
      <c r="A23" s="3">
        <v>41244</v>
      </c>
      <c r="B23" s="16">
        <v>149737822.24</v>
      </c>
      <c r="C23" s="16">
        <f>1174967.02-40415</f>
        <v>1134552.02</v>
      </c>
      <c r="D23" s="16">
        <f t="shared" si="0"/>
        <v>137098165.72</v>
      </c>
      <c r="E23" s="16">
        <v>11505104.5</v>
      </c>
      <c r="F23" s="17">
        <f>55242/31</f>
        <v>1782</v>
      </c>
      <c r="G23" s="16">
        <f>E23/F23/31</f>
        <v>208.26734187755693</v>
      </c>
      <c r="I23" s="16">
        <v>5867603.28</v>
      </c>
      <c r="J23" s="16">
        <v>3566582.38</v>
      </c>
      <c r="K23" s="16">
        <v>920408.38</v>
      </c>
      <c r="L23" s="16">
        <v>1150510.46</v>
      </c>
      <c r="M23" s="16">
        <v>0</v>
      </c>
    </row>
    <row r="24" spans="1:13" ht="12.75">
      <c r="A24" s="3">
        <v>41275</v>
      </c>
      <c r="B24" s="16">
        <v>151249971.63</v>
      </c>
      <c r="C24" s="16">
        <f>1132597.93-106970.8</f>
        <v>1025627.1299999999</v>
      </c>
      <c r="D24" s="16">
        <f t="shared" si="0"/>
        <v>138681505.27</v>
      </c>
      <c r="E24" s="16">
        <v>11542839.23</v>
      </c>
      <c r="F24" s="17">
        <f>55242/31</f>
        <v>1782</v>
      </c>
      <c r="G24" s="16">
        <f>E24/F24/31</f>
        <v>208.95042232359438</v>
      </c>
      <c r="I24" s="16">
        <v>5886848</v>
      </c>
      <c r="J24" s="16">
        <v>3578280.18</v>
      </c>
      <c r="K24" s="16">
        <v>923427.15</v>
      </c>
      <c r="L24" s="16">
        <v>1154283.93</v>
      </c>
      <c r="M24" s="16">
        <v>0</v>
      </c>
    </row>
    <row r="25" spans="1:13" ht="12.75">
      <c r="A25" s="3">
        <v>41306</v>
      </c>
      <c r="B25" s="16">
        <v>161309140.66</v>
      </c>
      <c r="C25" s="16">
        <f>1229402.48+302.5</f>
        <v>1229704.98</v>
      </c>
      <c r="D25" s="16">
        <f t="shared" si="0"/>
        <v>148118125.9</v>
      </c>
      <c r="E25" s="16">
        <v>11961309.78</v>
      </c>
      <c r="F25" s="17">
        <f>49896/28</f>
        <v>1782</v>
      </c>
      <c r="G25" s="16">
        <f>E25/F25/28</f>
        <v>239.72482323232322</v>
      </c>
      <c r="I25" s="16">
        <v>6100267.97</v>
      </c>
      <c r="J25" s="16">
        <v>3708006.06</v>
      </c>
      <c r="K25" s="16">
        <v>956904.77</v>
      </c>
      <c r="L25" s="16">
        <v>1196130.98</v>
      </c>
      <c r="M25" s="16">
        <v>0</v>
      </c>
    </row>
    <row r="26" spans="1:13" ht="12.75">
      <c r="A26" s="3">
        <v>41334</v>
      </c>
      <c r="B26" s="16">
        <v>189927639.46</v>
      </c>
      <c r="C26" s="16">
        <f>1700570.04-41260</f>
        <v>1659310.04</v>
      </c>
      <c r="D26" s="16">
        <f t="shared" si="0"/>
        <v>173645947.92000002</v>
      </c>
      <c r="E26" s="16">
        <v>14622381.5</v>
      </c>
      <c r="F26" s="17">
        <f>55242/31</f>
        <v>1782</v>
      </c>
      <c r="G26" s="16">
        <f>E26/F26/31</f>
        <v>264.6968158285363</v>
      </c>
      <c r="I26" s="16">
        <v>7457414.58</v>
      </c>
      <c r="J26" s="16">
        <v>4532938.28</v>
      </c>
      <c r="K26" s="16">
        <v>1169790.54</v>
      </c>
      <c r="L26" s="16">
        <v>1462238.17</v>
      </c>
      <c r="M26" s="16">
        <v>0</v>
      </c>
    </row>
    <row r="27" spans="1:13" ht="13.5" thickBot="1">
      <c r="A27" s="3" t="s">
        <v>20</v>
      </c>
      <c r="B27" s="18">
        <f>SUM(B15:B26)</f>
        <v>2080471383.7700002</v>
      </c>
      <c r="C27" s="18">
        <f>SUM(C15:C26)</f>
        <v>14824173.969999999</v>
      </c>
      <c r="D27" s="18">
        <f>SUM(D15:D26)</f>
        <v>1906949437.9300003</v>
      </c>
      <c r="E27" s="18">
        <f>SUM(E15:E26)</f>
        <v>158697771.87</v>
      </c>
      <c r="I27" s="18">
        <f>SUM(I15:I26)</f>
        <v>76435863.74</v>
      </c>
      <c r="J27" s="18">
        <f>SUM(J15:J26)</f>
        <v>49196309.300000004</v>
      </c>
      <c r="K27" s="18">
        <f>SUM(K15:K26)</f>
        <v>14695821.920000002</v>
      </c>
      <c r="L27" s="18">
        <f>SUM(L15:L26)</f>
        <v>15869777.340000002</v>
      </c>
      <c r="M27" s="18">
        <f>SUM(M15:M26)</f>
        <v>2500000.0300000003</v>
      </c>
    </row>
    <row r="28" spans="2:13" ht="10.5" customHeight="1" thickTop="1">
      <c r="B28" s="19"/>
      <c r="C28" s="19"/>
      <c r="D28" s="19"/>
      <c r="E28" s="19"/>
      <c r="I28" s="19"/>
      <c r="J28" s="19"/>
      <c r="K28" s="19"/>
      <c r="L28" s="19"/>
      <c r="M28" s="19"/>
    </row>
    <row r="29" spans="1:13" s="22" customFormat="1" ht="12.75">
      <c r="A29" s="20"/>
      <c r="B29" s="21"/>
      <c r="C29" s="21">
        <f>C27/B27</f>
        <v>0.007125391911489439</v>
      </c>
      <c r="D29" s="21">
        <f>D27/B27</f>
        <v>0.9165948894112821</v>
      </c>
      <c r="E29" s="21">
        <f>E27/B27</f>
        <v>0.07627971867722855</v>
      </c>
      <c r="I29" s="21">
        <f>I27/$E$27</f>
        <v>0.48164421490815723</v>
      </c>
      <c r="J29" s="21">
        <f>J27/$E$27</f>
        <v>0.3100000001279161</v>
      </c>
      <c r="K29" s="21">
        <f>K27/$E$27</f>
        <v>0.0926025724673585</v>
      </c>
      <c r="L29" s="21">
        <f>L27/$E$27</f>
        <v>0.10000000096409672</v>
      </c>
      <c r="M29" s="21">
        <f>M27/$E$27</f>
        <v>0.015753214431062826</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24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ht="12.75">
      <c r="A58" s="29"/>
      <c r="B58" s="30"/>
      <c r="C58" s="30"/>
      <c r="D58" s="26"/>
      <c r="E58" s="30"/>
      <c r="F58" s="31"/>
      <c r="G58" s="30"/>
      <c r="H58" s="30"/>
      <c r="I58" s="30"/>
      <c r="J58" s="30"/>
      <c r="K58" s="30"/>
      <c r="L58" s="30"/>
      <c r="M58" s="30"/>
    </row>
    <row r="59" spans="1:13" s="23" customFormat="1" ht="12.75">
      <c r="A59" s="74" t="s">
        <v>31</v>
      </c>
      <c r="B59" s="75"/>
      <c r="C59" s="75"/>
      <c r="D59" s="75"/>
      <c r="E59" s="75"/>
      <c r="F59" s="75"/>
      <c r="G59" s="75"/>
      <c r="H59" s="75"/>
      <c r="I59" s="75"/>
      <c r="J59" s="75"/>
      <c r="K59" s="75"/>
      <c r="L59" s="75"/>
      <c r="M59" s="81"/>
    </row>
    <row r="60" ht="12.75">
      <c r="A60" s="24"/>
    </row>
    <row r="61" spans="1:13" ht="13.5">
      <c r="A61" s="32"/>
      <c r="E61" s="10" t="s">
        <v>9</v>
      </c>
      <c r="F61" s="76" t="s">
        <v>90</v>
      </c>
      <c r="G61" s="76"/>
      <c r="H61" s="76"/>
      <c r="I61" s="76"/>
      <c r="J61" s="10" t="s">
        <v>10</v>
      </c>
      <c r="K61" s="54" t="s">
        <v>84</v>
      </c>
      <c r="L61" s="10" t="s">
        <v>45</v>
      </c>
      <c r="M61" s="34"/>
    </row>
    <row r="62" spans="1:13" ht="12.75">
      <c r="A62" s="35"/>
      <c r="E62" s="8" t="s">
        <v>17</v>
      </c>
      <c r="F62" s="8" t="s">
        <v>91</v>
      </c>
      <c r="G62" s="56" t="s">
        <v>92</v>
      </c>
      <c r="H62" s="36"/>
      <c r="I62" s="8" t="s">
        <v>93</v>
      </c>
      <c r="J62" s="8" t="s">
        <v>19</v>
      </c>
      <c r="K62" s="55" t="s">
        <v>85</v>
      </c>
      <c r="L62" s="8" t="s">
        <v>46</v>
      </c>
      <c r="M62" s="34"/>
    </row>
    <row r="63" spans="2:13" ht="12.75">
      <c r="B63" s="39" t="s">
        <v>55</v>
      </c>
      <c r="C63" s="39"/>
      <c r="D63" s="39"/>
      <c r="E63" s="57">
        <v>0.45</v>
      </c>
      <c r="F63" s="57">
        <v>0.21</v>
      </c>
      <c r="G63" s="58">
        <v>0.0875</v>
      </c>
      <c r="H63" s="59"/>
      <c r="I63" s="57">
        <v>0.0125</v>
      </c>
      <c r="J63" s="57">
        <v>0.1</v>
      </c>
      <c r="K63" s="57">
        <v>0.1</v>
      </c>
      <c r="L63" s="57">
        <v>0.04</v>
      </c>
      <c r="M63" s="38"/>
    </row>
    <row r="64" spans="2:13" ht="12.75">
      <c r="B64" s="39" t="s">
        <v>56</v>
      </c>
      <c r="C64" s="39"/>
      <c r="D64" s="39"/>
      <c r="E64" s="57">
        <v>0.49</v>
      </c>
      <c r="F64" s="57">
        <v>0.21</v>
      </c>
      <c r="G64" s="58">
        <v>0.0875</v>
      </c>
      <c r="H64" s="59"/>
      <c r="I64" s="57">
        <v>0.0125</v>
      </c>
      <c r="J64" s="57">
        <v>0.1</v>
      </c>
      <c r="K64" s="57">
        <v>0.1</v>
      </c>
      <c r="L64" s="57">
        <v>0</v>
      </c>
      <c r="M64" s="38"/>
    </row>
    <row r="65" spans="2:13" ht="12.75">
      <c r="B65" s="39" t="s">
        <v>53</v>
      </c>
      <c r="C65" s="39"/>
      <c r="D65" s="39"/>
      <c r="E65" s="57">
        <v>0.51</v>
      </c>
      <c r="F65" s="57">
        <v>0.21</v>
      </c>
      <c r="G65" s="58">
        <v>0.0875</v>
      </c>
      <c r="H65" s="59"/>
      <c r="I65" s="57">
        <v>0.0125</v>
      </c>
      <c r="J65" s="57">
        <v>0.08</v>
      </c>
      <c r="K65" s="57">
        <v>0.1</v>
      </c>
      <c r="L65" s="57">
        <v>0</v>
      </c>
      <c r="M65" s="38"/>
    </row>
    <row r="66" spans="2:13" ht="12.75">
      <c r="B66" s="39"/>
      <c r="C66" s="39"/>
      <c r="D66" s="39"/>
      <c r="E66" s="26"/>
      <c r="F66" s="27"/>
      <c r="G66" s="40"/>
      <c r="H66" s="26"/>
      <c r="I66" s="40"/>
      <c r="J66" s="40"/>
      <c r="K66" s="40"/>
      <c r="L66" s="40"/>
      <c r="M66" s="38"/>
    </row>
    <row r="67" spans="1:13" s="23" customFormat="1" ht="12.75">
      <c r="A67" s="77" t="s">
        <v>41</v>
      </c>
      <c r="B67" s="78"/>
      <c r="C67" s="78"/>
      <c r="D67" s="78"/>
      <c r="E67" s="78"/>
      <c r="F67" s="78"/>
      <c r="G67" s="78"/>
      <c r="H67" s="78"/>
      <c r="I67" s="78"/>
      <c r="J67" s="78"/>
      <c r="K67" s="78"/>
      <c r="L67" s="78"/>
      <c r="M67" s="82"/>
    </row>
    <row r="68" spans="1:6" ht="12.75">
      <c r="A68" s="24"/>
      <c r="E68"/>
      <c r="F68" s="16"/>
    </row>
    <row r="69" spans="1:13" ht="54.75" customHeight="1">
      <c r="A69" s="79" t="s">
        <v>99</v>
      </c>
      <c r="B69" s="80"/>
      <c r="C69" s="80"/>
      <c r="D69" s="80"/>
      <c r="E69" s="80"/>
      <c r="F69" s="80"/>
      <c r="G69" s="80"/>
      <c r="H69" s="80"/>
      <c r="I69" s="80"/>
      <c r="J69" s="80"/>
      <c r="K69" s="80"/>
      <c r="L69" s="80"/>
      <c r="M69" s="80"/>
    </row>
    <row r="70" spans="1:6" ht="12.75">
      <c r="A70" s="16"/>
      <c r="E70"/>
      <c r="F70" s="16"/>
    </row>
    <row r="71" spans="2:5" ht="12.75">
      <c r="B71" s="24" t="s">
        <v>42</v>
      </c>
      <c r="C71" s="24"/>
      <c r="D71" s="24"/>
      <c r="E71" s="16">
        <v>1496000</v>
      </c>
    </row>
    <row r="72" spans="2:5" ht="12.75">
      <c r="B72" s="24" t="s">
        <v>43</v>
      </c>
      <c r="C72" s="24"/>
      <c r="D72" s="24"/>
      <c r="E72" s="16">
        <v>499000</v>
      </c>
    </row>
    <row r="73" spans="2:5" ht="12.75">
      <c r="B73" s="16" t="s">
        <v>32</v>
      </c>
      <c r="D73" s="16" t="s">
        <v>32</v>
      </c>
      <c r="E73" s="16" t="s">
        <v>32</v>
      </c>
    </row>
    <row r="74" ht="12.75">
      <c r="E74" s="16" t="s">
        <v>32</v>
      </c>
    </row>
    <row r="75" ht="12.75">
      <c r="A75" s="28" t="s">
        <v>101</v>
      </c>
    </row>
  </sheetData>
  <sheetProtection/>
  <mergeCells count="12">
    <mergeCell ref="I10:M10"/>
    <mergeCell ref="A31:M31"/>
    <mergeCell ref="A59:M59"/>
    <mergeCell ref="F61:I61"/>
    <mergeCell ref="A67:M67"/>
    <mergeCell ref="A69:M69"/>
    <mergeCell ref="A1:M1"/>
    <mergeCell ref="A2:M2"/>
    <mergeCell ref="A3:M3"/>
    <mergeCell ref="A4:M4"/>
    <mergeCell ref="A5:M5"/>
    <mergeCell ref="A8:M8"/>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1"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94</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4.25">
      <c r="A4" s="83" t="s">
        <v>3</v>
      </c>
      <c r="B4" s="83"/>
      <c r="C4" s="83"/>
      <c r="D4" s="83"/>
      <c r="E4" s="83"/>
      <c r="F4" s="83"/>
      <c r="G4" s="83"/>
      <c r="H4" s="83"/>
      <c r="I4" s="83"/>
      <c r="J4" s="83"/>
      <c r="K4" s="83"/>
      <c r="L4" s="83"/>
      <c r="M4" s="83"/>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74</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40634</v>
      </c>
      <c r="B15" s="16">
        <v>160470784.28</v>
      </c>
      <c r="C15" s="16">
        <v>463183.03</v>
      </c>
      <c r="D15" s="16">
        <f aca="true" t="shared" si="0" ref="D15:D26">+B15-C15-E15</f>
        <v>147405146.63</v>
      </c>
      <c r="E15" s="16">
        <v>12602454.62</v>
      </c>
      <c r="F15" s="17">
        <f>53700/30</f>
        <v>1790</v>
      </c>
      <c r="G15" s="16">
        <f>E15/F15/30</f>
        <v>234.68258137802604</v>
      </c>
      <c r="I15" s="16">
        <v>5671104.6</v>
      </c>
      <c r="J15" s="16">
        <v>3906760.92</v>
      </c>
      <c r="K15" s="16">
        <v>1260245.48</v>
      </c>
      <c r="L15" s="16">
        <v>1260245.48</v>
      </c>
      <c r="M15" s="16">
        <v>504098.18</v>
      </c>
    </row>
    <row r="16" spans="1:13" ht="12.75">
      <c r="A16" s="3">
        <v>40664</v>
      </c>
      <c r="B16" s="16">
        <v>170664795.35</v>
      </c>
      <c r="C16" s="16">
        <v>1190370.21</v>
      </c>
      <c r="D16" s="16">
        <f t="shared" si="0"/>
        <v>156596422.88</v>
      </c>
      <c r="E16" s="16">
        <v>12878002.26</v>
      </c>
      <c r="F16" s="17">
        <f>55490/31</f>
        <v>1790</v>
      </c>
      <c r="G16" s="16">
        <f>E16/F16/31</f>
        <v>232.07789259326003</v>
      </c>
      <c r="I16" s="16">
        <v>5795101.02</v>
      </c>
      <c r="J16" s="16">
        <v>3992180.71</v>
      </c>
      <c r="K16" s="16">
        <v>1287800.24</v>
      </c>
      <c r="L16" s="16">
        <v>1287800.24</v>
      </c>
      <c r="M16" s="16">
        <v>515120.1</v>
      </c>
    </row>
    <row r="17" spans="1:13" ht="12.75">
      <c r="A17" s="3">
        <v>40695</v>
      </c>
      <c r="B17" s="16">
        <v>169332595.78</v>
      </c>
      <c r="C17" s="16">
        <v>1411185.59</v>
      </c>
      <c r="D17" s="16">
        <f t="shared" si="0"/>
        <v>155044348.38</v>
      </c>
      <c r="E17" s="16">
        <v>12877061.81</v>
      </c>
      <c r="F17" s="17">
        <f>53422/30</f>
        <v>1780.7333333333333</v>
      </c>
      <c r="G17" s="16">
        <f>E17/F17/30</f>
        <v>241.0441729998877</v>
      </c>
      <c r="I17" s="16">
        <v>5794677.83</v>
      </c>
      <c r="J17" s="16">
        <v>3991889.13</v>
      </c>
      <c r="K17" s="16">
        <v>1287706.2</v>
      </c>
      <c r="L17" s="16">
        <v>1287706.2</v>
      </c>
      <c r="M17" s="16">
        <v>515082.46</v>
      </c>
    </row>
    <row r="18" spans="1:13" ht="12.75">
      <c r="A18" s="3">
        <v>40725</v>
      </c>
      <c r="B18" s="16">
        <v>192822418.7</v>
      </c>
      <c r="C18" s="16">
        <f>1548661.45-84172.4</f>
        <v>1464489.05</v>
      </c>
      <c r="D18" s="16">
        <f t="shared" si="0"/>
        <v>177031441.05999997</v>
      </c>
      <c r="E18" s="16">
        <v>14326488.59</v>
      </c>
      <c r="F18" s="17">
        <f>55056/31</f>
        <v>1776</v>
      </c>
      <c r="G18" s="16">
        <f>E18/F18/31</f>
        <v>260.21666285236853</v>
      </c>
      <c r="I18" s="16">
        <v>6446919.89</v>
      </c>
      <c r="J18" s="16">
        <v>4441211.45</v>
      </c>
      <c r="K18" s="16">
        <v>1432648.87</v>
      </c>
      <c r="L18" s="16">
        <v>1432648.87</v>
      </c>
      <c r="M18" s="16">
        <v>573059.54</v>
      </c>
    </row>
    <row r="19" spans="1:13" ht="12.75">
      <c r="A19" s="3">
        <v>40756</v>
      </c>
      <c r="B19" s="16">
        <v>198165481.68</v>
      </c>
      <c r="C19" s="16">
        <f>1980546.22-63402.18</f>
        <v>1917144.04</v>
      </c>
      <c r="D19" s="16">
        <f t="shared" si="0"/>
        <v>181672811.9</v>
      </c>
      <c r="E19" s="16">
        <v>14575525.74</v>
      </c>
      <c r="F19" s="17">
        <f>55056/31</f>
        <v>1776</v>
      </c>
      <c r="G19" s="16">
        <f>E19/F19/31</f>
        <v>264.7400054489974</v>
      </c>
      <c r="I19" s="16">
        <v>6749367.94</v>
      </c>
      <c r="J19" s="16">
        <v>4518412.97</v>
      </c>
      <c r="K19" s="16">
        <v>1457552.6</v>
      </c>
      <c r="L19" s="16">
        <v>1457552.6</v>
      </c>
      <c r="M19" s="16">
        <v>392639.72</v>
      </c>
    </row>
    <row r="20" spans="1:13" ht="12.75">
      <c r="A20" s="3">
        <v>40787</v>
      </c>
      <c r="B20" s="16">
        <v>179499951.11</v>
      </c>
      <c r="C20" s="16">
        <f>1657989.77-74486.2</f>
        <v>1583503.57</v>
      </c>
      <c r="D20" s="16">
        <f t="shared" si="0"/>
        <v>165005970.08</v>
      </c>
      <c r="E20" s="16">
        <v>12910477.46</v>
      </c>
      <c r="F20" s="17">
        <f>53280/30</f>
        <v>1776</v>
      </c>
      <c r="G20" s="16">
        <f>E20/F20/30</f>
        <v>242.31376614114114</v>
      </c>
      <c r="I20" s="16">
        <v>6326133.95</v>
      </c>
      <c r="J20" s="16">
        <v>4002248.02</v>
      </c>
      <c r="K20" s="16">
        <v>1291047.77</v>
      </c>
      <c r="L20" s="16">
        <v>1291047.77</v>
      </c>
      <c r="M20" s="16">
        <v>0</v>
      </c>
    </row>
    <row r="21" spans="1:13" ht="12.75">
      <c r="A21" s="3">
        <v>40817</v>
      </c>
      <c r="B21" s="16">
        <v>176510496.74</v>
      </c>
      <c r="C21" s="16">
        <f>1633765.62-53889.35</f>
        <v>1579876.27</v>
      </c>
      <c r="D21" s="16">
        <f t="shared" si="0"/>
        <v>162248074.09</v>
      </c>
      <c r="E21" s="16">
        <v>12682546.38</v>
      </c>
      <c r="F21" s="17">
        <f>55056/31</f>
        <v>1776</v>
      </c>
      <c r="G21" s="16">
        <f>E21/F21/31</f>
        <v>230.35720684394073</v>
      </c>
      <c r="I21" s="16">
        <v>6214447.74</v>
      </c>
      <c r="J21" s="16">
        <v>3931589.37</v>
      </c>
      <c r="K21" s="16">
        <v>1268254.68</v>
      </c>
      <c r="L21" s="16">
        <v>1268254.69</v>
      </c>
      <c r="M21" s="16">
        <v>0</v>
      </c>
    </row>
    <row r="22" spans="1:13" ht="12.75">
      <c r="A22" s="3">
        <v>40848</v>
      </c>
      <c r="B22" s="16">
        <v>159448460.2</v>
      </c>
      <c r="C22" s="16">
        <f>1381702.18-32877.25</f>
        <v>1348824.93</v>
      </c>
      <c r="D22" s="16">
        <f t="shared" si="0"/>
        <v>146337275.02999997</v>
      </c>
      <c r="E22" s="16">
        <v>11762360.24</v>
      </c>
      <c r="F22" s="17">
        <f>53020/30</f>
        <v>1767.3333333333333</v>
      </c>
      <c r="G22" s="16">
        <f>E22/F22/30</f>
        <v>221.84760920407396</v>
      </c>
      <c r="I22" s="16">
        <v>5855854.87</v>
      </c>
      <c r="J22" s="16">
        <v>3646331.66</v>
      </c>
      <c r="K22" s="16">
        <v>1083937.68</v>
      </c>
      <c r="L22" s="16">
        <v>1176236.06</v>
      </c>
      <c r="M22" s="16">
        <v>0</v>
      </c>
    </row>
    <row r="23" spans="1:13" ht="12.75">
      <c r="A23" s="3">
        <v>40878</v>
      </c>
      <c r="B23" s="16">
        <v>159169018.53</v>
      </c>
      <c r="C23" s="16">
        <f>1241927.39-77533.3</f>
        <v>1164394.0899999999</v>
      </c>
      <c r="D23" s="16">
        <f t="shared" si="0"/>
        <v>146109242.24</v>
      </c>
      <c r="E23" s="16">
        <v>11895382.2</v>
      </c>
      <c r="F23" s="17">
        <f>55092/31</f>
        <v>1777.1612903225807</v>
      </c>
      <c r="G23" s="16">
        <f>E23/F23/31</f>
        <v>215.91850359398822</v>
      </c>
      <c r="I23" s="16">
        <v>6066644.92</v>
      </c>
      <c r="J23" s="16">
        <v>3687568.47</v>
      </c>
      <c r="K23" s="16">
        <v>951630.59</v>
      </c>
      <c r="L23" s="16">
        <v>1189538.25</v>
      </c>
      <c r="M23" s="16">
        <v>0</v>
      </c>
    </row>
    <row r="24" spans="1:13" ht="12.75">
      <c r="A24" s="3">
        <v>40909</v>
      </c>
      <c r="B24" s="16">
        <v>158172806.83</v>
      </c>
      <c r="C24" s="16">
        <v>1391840.07</v>
      </c>
      <c r="D24" s="16">
        <f t="shared" si="0"/>
        <v>144915996.69000003</v>
      </c>
      <c r="E24" s="16">
        <v>11864970.07</v>
      </c>
      <c r="F24" s="17">
        <f>55118/31</f>
        <v>1778</v>
      </c>
      <c r="G24" s="16">
        <f>E24/F24/31</f>
        <v>215.26488751406075</v>
      </c>
      <c r="I24" s="16">
        <v>6051134.74</v>
      </c>
      <c r="J24" s="16">
        <v>3678140.72</v>
      </c>
      <c r="K24" s="16">
        <v>949197.6</v>
      </c>
      <c r="L24" s="16">
        <v>1186497.04</v>
      </c>
      <c r="M24" s="16">
        <v>0</v>
      </c>
    </row>
    <row r="25" spans="1:13" ht="12.75">
      <c r="A25" s="3">
        <v>40940</v>
      </c>
      <c r="B25" s="16">
        <v>173321509.89</v>
      </c>
      <c r="C25" s="16">
        <f>1420644.89-37907.95</f>
        <v>1382736.94</v>
      </c>
      <c r="D25" s="16">
        <f t="shared" si="0"/>
        <v>158890512.86999997</v>
      </c>
      <c r="E25" s="16">
        <v>13048260.08</v>
      </c>
      <c r="F25" s="17">
        <f>51562/29</f>
        <v>1778</v>
      </c>
      <c r="G25" s="16">
        <f>E25/F25/29</f>
        <v>253.05961909933671</v>
      </c>
      <c r="I25" s="16">
        <v>6654612.65</v>
      </c>
      <c r="J25" s="16">
        <v>4044960.61</v>
      </c>
      <c r="K25" s="16">
        <v>1043860.79</v>
      </c>
      <c r="L25" s="16">
        <v>1304826.02</v>
      </c>
      <c r="M25" s="16">
        <v>0</v>
      </c>
    </row>
    <row r="26" spans="1:13" ht="12.75">
      <c r="A26" s="3">
        <v>40969</v>
      </c>
      <c r="B26" s="16">
        <v>188940731.28</v>
      </c>
      <c r="C26" s="16">
        <f>1608587.74-36742.8</f>
        <v>1571844.94</v>
      </c>
      <c r="D26" s="16">
        <f t="shared" si="0"/>
        <v>173101382.28</v>
      </c>
      <c r="E26" s="16">
        <v>14267504.06</v>
      </c>
      <c r="F26" s="17">
        <f>55118/31</f>
        <v>1778</v>
      </c>
      <c r="G26" s="16">
        <f>E26/F26/31</f>
        <v>258.8538056533256</v>
      </c>
      <c r="H26" s="16">
        <v>6316703.41</v>
      </c>
      <c r="I26" s="16">
        <v>7276427.05</v>
      </c>
      <c r="J26" s="16">
        <v>4422926.27</v>
      </c>
      <c r="K26" s="16">
        <v>1141400.32</v>
      </c>
      <c r="L26" s="16">
        <v>1426750.41</v>
      </c>
      <c r="M26" s="16">
        <v>0</v>
      </c>
    </row>
    <row r="27" spans="1:13" ht="13.5" thickBot="1">
      <c r="A27" s="3" t="s">
        <v>20</v>
      </c>
      <c r="B27" s="18">
        <f>SUM(B15:B26)</f>
        <v>2086519050.3699996</v>
      </c>
      <c r="C27" s="18">
        <f>SUM(C15:C26)</f>
        <v>16469392.729999999</v>
      </c>
      <c r="D27" s="18">
        <f>SUM(D15:D26)</f>
        <v>1914358624.1299999</v>
      </c>
      <c r="E27" s="18">
        <f>SUM(E15:E26)</f>
        <v>155691033.51</v>
      </c>
      <c r="I27" s="18">
        <f>SUM(I15:I26)</f>
        <v>74902427.2</v>
      </c>
      <c r="J27" s="18">
        <f>SUM(J15:J26)</f>
        <v>48264220.3</v>
      </c>
      <c r="K27" s="18">
        <f>SUM(K15:K26)</f>
        <v>14455282.82</v>
      </c>
      <c r="L27" s="18">
        <f>SUM(L15:L26)</f>
        <v>15569103.629999999</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0.007893238610536292</v>
      </c>
      <c r="D29" s="21">
        <f>D27/B27</f>
        <v>0.917489166365641</v>
      </c>
      <c r="E29" s="21">
        <f>E27/B27</f>
        <v>0.07461759502382281</v>
      </c>
      <c r="I29" s="21">
        <f>I27/$E$27</f>
        <v>0.4810966021057921</v>
      </c>
      <c r="J29" s="21">
        <f>J27/$E$27</f>
        <v>0.3099999994341357</v>
      </c>
      <c r="K29" s="21">
        <f>K27/$E$27</f>
        <v>0.09284595582745324</v>
      </c>
      <c r="L29" s="21">
        <f>L27/$E$27</f>
        <v>0.10000000179201071</v>
      </c>
      <c r="M29" s="21">
        <f>M27/$E$27</f>
        <v>0.016057443666718456</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24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ht="12.75">
      <c r="A58" s="29"/>
      <c r="B58" s="30"/>
      <c r="C58" s="30"/>
      <c r="D58" s="26"/>
      <c r="E58" s="30"/>
      <c r="F58" s="31"/>
      <c r="G58" s="30"/>
      <c r="H58" s="30"/>
      <c r="I58" s="30"/>
      <c r="J58" s="30"/>
      <c r="K58" s="30"/>
      <c r="L58" s="30"/>
      <c r="M58" s="30"/>
    </row>
    <row r="59" spans="1:13" s="23" customFormat="1" ht="12.75">
      <c r="A59" s="74" t="s">
        <v>31</v>
      </c>
      <c r="B59" s="75"/>
      <c r="C59" s="75"/>
      <c r="D59" s="75"/>
      <c r="E59" s="75"/>
      <c r="F59" s="75"/>
      <c r="G59" s="75"/>
      <c r="H59" s="75"/>
      <c r="I59" s="75"/>
      <c r="J59" s="75"/>
      <c r="K59" s="75"/>
      <c r="L59" s="75"/>
      <c r="M59" s="81"/>
    </row>
    <row r="60" ht="12.75">
      <c r="A60" s="24"/>
    </row>
    <row r="61" spans="1:13" ht="13.5">
      <c r="A61" s="32"/>
      <c r="E61" s="10" t="s">
        <v>9</v>
      </c>
      <c r="F61" s="76" t="s">
        <v>90</v>
      </c>
      <c r="G61" s="76"/>
      <c r="H61" s="76"/>
      <c r="I61" s="76"/>
      <c r="J61" s="10" t="s">
        <v>10</v>
      </c>
      <c r="K61" s="54" t="s">
        <v>84</v>
      </c>
      <c r="L61" s="10" t="s">
        <v>45</v>
      </c>
      <c r="M61" s="34"/>
    </row>
    <row r="62" spans="1:13" ht="12.75">
      <c r="A62" s="35"/>
      <c r="E62" s="8" t="s">
        <v>17</v>
      </c>
      <c r="F62" s="8" t="s">
        <v>91</v>
      </c>
      <c r="G62" s="56" t="s">
        <v>92</v>
      </c>
      <c r="H62" s="36"/>
      <c r="I62" s="8" t="s">
        <v>93</v>
      </c>
      <c r="J62" s="8" t="s">
        <v>19</v>
      </c>
      <c r="K62" s="55" t="s">
        <v>85</v>
      </c>
      <c r="L62" s="8" t="s">
        <v>46</v>
      </c>
      <c r="M62" s="34"/>
    </row>
    <row r="63" spans="2:13" ht="12.75">
      <c r="B63" s="39" t="s">
        <v>55</v>
      </c>
      <c r="C63" s="39"/>
      <c r="D63" s="39"/>
      <c r="E63" s="57">
        <v>0.45</v>
      </c>
      <c r="F63" s="57">
        <v>0.21</v>
      </c>
      <c r="G63" s="58">
        <v>0.0875</v>
      </c>
      <c r="H63" s="59"/>
      <c r="I63" s="57">
        <v>0.0125</v>
      </c>
      <c r="J63" s="57">
        <v>0.1</v>
      </c>
      <c r="K63" s="57">
        <v>0.1</v>
      </c>
      <c r="L63" s="57">
        <v>0.04</v>
      </c>
      <c r="M63" s="38"/>
    </row>
    <row r="64" spans="2:13" ht="12.75">
      <c r="B64" s="39" t="s">
        <v>56</v>
      </c>
      <c r="C64" s="39"/>
      <c r="D64" s="39"/>
      <c r="E64" s="57">
        <v>0.49</v>
      </c>
      <c r="F64" s="57">
        <v>0.21</v>
      </c>
      <c r="G64" s="58">
        <v>0.0875</v>
      </c>
      <c r="H64" s="59"/>
      <c r="I64" s="57">
        <v>0.0125</v>
      </c>
      <c r="J64" s="57">
        <v>0.1</v>
      </c>
      <c r="K64" s="57">
        <v>0.1</v>
      </c>
      <c r="L64" s="57">
        <v>0</v>
      </c>
      <c r="M64" s="38"/>
    </row>
    <row r="65" spans="2:13" ht="12.75">
      <c r="B65" s="39" t="s">
        <v>53</v>
      </c>
      <c r="C65" s="39"/>
      <c r="D65" s="39"/>
      <c r="E65" s="57">
        <v>0.51</v>
      </c>
      <c r="F65" s="57">
        <v>0.21</v>
      </c>
      <c r="G65" s="58">
        <v>0.0875</v>
      </c>
      <c r="H65" s="59"/>
      <c r="I65" s="57">
        <v>0.0125</v>
      </c>
      <c r="J65" s="57">
        <v>0.08</v>
      </c>
      <c r="K65" s="57">
        <v>0.1</v>
      </c>
      <c r="L65" s="57">
        <v>0</v>
      </c>
      <c r="M65" s="38"/>
    </row>
    <row r="66" spans="2:13" ht="12.75">
      <c r="B66" s="39"/>
      <c r="C66" s="39"/>
      <c r="D66" s="39"/>
      <c r="E66" s="26"/>
      <c r="F66" s="27"/>
      <c r="G66" s="40"/>
      <c r="H66" s="26"/>
      <c r="I66" s="40"/>
      <c r="J66" s="40"/>
      <c r="K66" s="40"/>
      <c r="L66" s="40"/>
      <c r="M66" s="38"/>
    </row>
    <row r="67" spans="1:13" s="23" customFormat="1" ht="12.75">
      <c r="A67" s="77" t="s">
        <v>41</v>
      </c>
      <c r="B67" s="78"/>
      <c r="C67" s="78"/>
      <c r="D67" s="78"/>
      <c r="E67" s="78"/>
      <c r="F67" s="78"/>
      <c r="G67" s="78"/>
      <c r="H67" s="78"/>
      <c r="I67" s="78"/>
      <c r="J67" s="78"/>
      <c r="K67" s="78"/>
      <c r="L67" s="78"/>
      <c r="M67" s="82"/>
    </row>
    <row r="68" spans="1:6" ht="12.75">
      <c r="A68" s="24"/>
      <c r="E68"/>
      <c r="F68" s="16"/>
    </row>
    <row r="69" spans="1:13" ht="54.75" customHeight="1">
      <c r="A69" s="79" t="s">
        <v>95</v>
      </c>
      <c r="B69" s="80"/>
      <c r="C69" s="80"/>
      <c r="D69" s="80"/>
      <c r="E69" s="80"/>
      <c r="F69" s="80"/>
      <c r="G69" s="80"/>
      <c r="H69" s="80"/>
      <c r="I69" s="80"/>
      <c r="J69" s="80"/>
      <c r="K69" s="80"/>
      <c r="L69" s="80"/>
      <c r="M69" s="80"/>
    </row>
    <row r="70" spans="1:6" ht="12.75">
      <c r="A70" s="16"/>
      <c r="E70"/>
      <c r="F70" s="16"/>
    </row>
    <row r="71" spans="2:5" ht="12.75">
      <c r="B71" s="24" t="s">
        <v>42</v>
      </c>
      <c r="C71" s="24"/>
      <c r="D71" s="24"/>
      <c r="E71" s="16">
        <v>1496000</v>
      </c>
    </row>
    <row r="72" spans="2:5" ht="12.75">
      <c r="B72" s="24" t="s">
        <v>43</v>
      </c>
      <c r="C72" s="24"/>
      <c r="D72" s="24"/>
      <c r="E72" s="16">
        <v>499000</v>
      </c>
    </row>
    <row r="73" spans="2:5" ht="12.75">
      <c r="B73" s="16" t="s">
        <v>32</v>
      </c>
      <c r="D73" s="16" t="s">
        <v>32</v>
      </c>
      <c r="E73" s="16" t="s">
        <v>32</v>
      </c>
    </row>
    <row r="74" ht="12.75">
      <c r="E74" s="16" t="s">
        <v>32</v>
      </c>
    </row>
    <row r="75" ht="12.75">
      <c r="A75" s="24" t="s">
        <v>34</v>
      </c>
    </row>
  </sheetData>
  <sheetProtection/>
  <mergeCells count="12">
    <mergeCell ref="A1:M1"/>
    <mergeCell ref="A5:M5"/>
    <mergeCell ref="A4:M4"/>
    <mergeCell ref="A3:M3"/>
    <mergeCell ref="A2:M2"/>
    <mergeCell ref="A67:M67"/>
    <mergeCell ref="A31:M31"/>
    <mergeCell ref="A59:M59"/>
    <mergeCell ref="A69:M69"/>
    <mergeCell ref="I10:M10"/>
    <mergeCell ref="A8:M8"/>
    <mergeCell ref="F61:I61"/>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1"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7.7109375" style="17" customWidth="1"/>
    <col min="6" max="6" width="9.28125" style="16" customWidth="1"/>
    <col min="7" max="7" width="1.421875" style="16" customWidth="1"/>
    <col min="8" max="8" width="13.140625" style="16" customWidth="1"/>
    <col min="9" max="9" width="12.57421875" style="16" customWidth="1"/>
    <col min="10" max="11" width="12.8515625" style="16" bestFit="1" customWidth="1"/>
    <col min="12" max="12" width="12.421875" style="16" customWidth="1"/>
    <col min="13" max="13" width="12.7109375" style="0" customWidth="1"/>
  </cols>
  <sheetData>
    <row r="1" spans="1:12" ht="18">
      <c r="A1" s="70" t="s">
        <v>0</v>
      </c>
      <c r="B1" s="70"/>
      <c r="C1" s="70"/>
      <c r="D1" s="70"/>
      <c r="E1" s="70"/>
      <c r="F1" s="70"/>
      <c r="G1" s="70"/>
      <c r="H1" s="70"/>
      <c r="I1" s="70"/>
      <c r="J1" s="70"/>
      <c r="K1" s="70"/>
      <c r="L1" s="70"/>
    </row>
    <row r="2" spans="1:12" ht="15">
      <c r="A2" s="71" t="s">
        <v>1</v>
      </c>
      <c r="B2" s="71"/>
      <c r="C2" s="71"/>
      <c r="D2" s="71"/>
      <c r="E2" s="71"/>
      <c r="F2" s="71"/>
      <c r="G2" s="71"/>
      <c r="H2" s="71"/>
      <c r="I2" s="71"/>
      <c r="J2" s="71"/>
      <c r="K2" s="71"/>
      <c r="L2" s="71"/>
    </row>
    <row r="3" spans="1:12" s="1" customFormat="1" ht="15">
      <c r="A3" s="71" t="s">
        <v>2</v>
      </c>
      <c r="B3" s="71"/>
      <c r="C3" s="71"/>
      <c r="D3" s="71"/>
      <c r="E3" s="71"/>
      <c r="F3" s="71"/>
      <c r="G3" s="71"/>
      <c r="H3" s="71"/>
      <c r="I3" s="71"/>
      <c r="J3" s="71"/>
      <c r="K3" s="71"/>
      <c r="L3" s="71"/>
    </row>
    <row r="4" spans="1:12" s="1" customFormat="1" ht="14.25">
      <c r="A4" s="83" t="s">
        <v>3</v>
      </c>
      <c r="B4" s="83"/>
      <c r="C4" s="83"/>
      <c r="D4" s="83"/>
      <c r="E4" s="83"/>
      <c r="F4" s="83"/>
      <c r="G4" s="83"/>
      <c r="H4" s="83"/>
      <c r="I4" s="83"/>
      <c r="J4" s="83"/>
      <c r="K4" s="83"/>
      <c r="L4" s="83"/>
    </row>
    <row r="5" spans="1:12" s="1" customFormat="1" ht="14.25">
      <c r="A5" s="73" t="s">
        <v>4</v>
      </c>
      <c r="B5" s="73"/>
      <c r="C5" s="73"/>
      <c r="D5" s="73"/>
      <c r="E5" s="73"/>
      <c r="F5" s="73"/>
      <c r="G5" s="73"/>
      <c r="H5" s="73"/>
      <c r="I5" s="73"/>
      <c r="J5" s="73"/>
      <c r="K5" s="73"/>
      <c r="L5" s="73"/>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74" t="s">
        <v>63</v>
      </c>
      <c r="B8" s="75"/>
      <c r="C8" s="75"/>
      <c r="D8" s="75"/>
      <c r="E8" s="75"/>
      <c r="F8" s="75"/>
      <c r="G8" s="75"/>
      <c r="H8" s="75"/>
      <c r="I8" s="75"/>
      <c r="J8" s="75"/>
      <c r="K8" s="75"/>
      <c r="L8" s="81"/>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76" t="s">
        <v>5</v>
      </c>
      <c r="I10" s="76"/>
      <c r="J10" s="76"/>
      <c r="K10" s="76"/>
      <c r="L10" s="76"/>
    </row>
    <row r="11" spans="1:12" s="1" customFormat="1" ht="12.75">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83</v>
      </c>
      <c r="J12" s="10" t="s">
        <v>10</v>
      </c>
      <c r="K12" s="10" t="s">
        <v>84</v>
      </c>
      <c r="L12" s="10" t="s">
        <v>45</v>
      </c>
    </row>
    <row r="13" spans="1:12" s="12" customFormat="1" ht="12">
      <c r="A13" s="13" t="s">
        <v>11</v>
      </c>
      <c r="B13" s="8" t="s">
        <v>12</v>
      </c>
      <c r="C13" s="8" t="s">
        <v>13</v>
      </c>
      <c r="D13" s="8" t="s">
        <v>14</v>
      </c>
      <c r="E13" s="14" t="s">
        <v>15</v>
      </c>
      <c r="F13" s="8" t="s">
        <v>16</v>
      </c>
      <c r="G13" s="15"/>
      <c r="H13" s="8" t="s">
        <v>17</v>
      </c>
      <c r="I13" s="8" t="s">
        <v>18</v>
      </c>
      <c r="J13" s="8" t="s">
        <v>19</v>
      </c>
      <c r="K13" s="8" t="s">
        <v>85</v>
      </c>
      <c r="L13" s="8" t="s">
        <v>46</v>
      </c>
    </row>
    <row r="15" spans="1:12" ht="12.75">
      <c r="A15" s="3">
        <v>40269</v>
      </c>
      <c r="B15" s="16">
        <v>141088760.35</v>
      </c>
      <c r="C15" s="16">
        <f aca="true" t="shared" si="0" ref="C15:C26">+B15-D15</f>
        <v>129200898.03999999</v>
      </c>
      <c r="D15" s="16">
        <v>11887862.31</v>
      </c>
      <c r="E15" s="17">
        <f>53100/30</f>
        <v>1770</v>
      </c>
      <c r="F15" s="16">
        <f>D15/E15/30</f>
        <v>223.87687966101697</v>
      </c>
      <c r="H15" s="16">
        <v>5230659.4</v>
      </c>
      <c r="I15" s="16">
        <v>3804115.92</v>
      </c>
      <c r="J15" s="16">
        <v>1188786.24</v>
      </c>
      <c r="K15" s="16">
        <v>1188786.24</v>
      </c>
      <c r="L15" s="16">
        <v>475514.49</v>
      </c>
    </row>
    <row r="16" spans="1:12" ht="12.75">
      <c r="A16" s="3">
        <v>40299</v>
      </c>
      <c r="B16" s="16">
        <v>144626737.91</v>
      </c>
      <c r="C16" s="16">
        <f t="shared" si="0"/>
        <v>132420508.1</v>
      </c>
      <c r="D16" s="16">
        <v>12206229.81</v>
      </c>
      <c r="E16" s="17">
        <f>54870/31</f>
        <v>1770</v>
      </c>
      <c r="F16" s="16">
        <f>D16/E16/31</f>
        <v>222.45725915800986</v>
      </c>
      <c r="H16" s="16">
        <v>5370741.09</v>
      </c>
      <c r="I16" s="16">
        <v>3905993.56</v>
      </c>
      <c r="J16" s="16">
        <v>1220623.03</v>
      </c>
      <c r="K16" s="16">
        <v>1220623.03</v>
      </c>
      <c r="L16" s="16">
        <v>488249.2</v>
      </c>
    </row>
    <row r="17" spans="1:12" ht="12.75">
      <c r="A17" s="3">
        <v>40330</v>
      </c>
      <c r="B17" s="16">
        <v>134164810.08</v>
      </c>
      <c r="C17" s="16">
        <f t="shared" si="0"/>
        <v>122815760.66</v>
      </c>
      <c r="D17" s="16">
        <v>11349049.42</v>
      </c>
      <c r="E17" s="17">
        <f>53100/30</f>
        <v>1770</v>
      </c>
      <c r="F17" s="16">
        <f>D17/E17/30</f>
        <v>213.72974425612054</v>
      </c>
      <c r="H17" s="16">
        <v>4993581.73</v>
      </c>
      <c r="I17" s="16">
        <v>3631695.81</v>
      </c>
      <c r="J17" s="16">
        <v>1134904.93</v>
      </c>
      <c r="K17" s="16">
        <v>1134904.93</v>
      </c>
      <c r="L17" s="16">
        <v>453961.96</v>
      </c>
    </row>
    <row r="18" spans="1:12" ht="12.75">
      <c r="A18" s="3">
        <v>40360</v>
      </c>
      <c r="B18" s="16">
        <v>159885473.27</v>
      </c>
      <c r="C18" s="16">
        <f t="shared" si="0"/>
        <v>146843043.84</v>
      </c>
      <c r="D18" s="16">
        <v>13042429.43</v>
      </c>
      <c r="E18" s="17">
        <f>54870/31</f>
        <v>1770</v>
      </c>
      <c r="F18" s="16">
        <f>D18/E18/31</f>
        <v>237.69690960451976</v>
      </c>
      <c r="H18" s="16">
        <v>5738668.94</v>
      </c>
      <c r="I18" s="16">
        <v>4173577.43</v>
      </c>
      <c r="J18" s="16">
        <v>1304242.96</v>
      </c>
      <c r="K18" s="16">
        <v>1304242.96</v>
      </c>
      <c r="L18" s="16">
        <v>521697.15</v>
      </c>
    </row>
    <row r="19" spans="1:12" ht="12.75">
      <c r="A19" s="3">
        <v>40391</v>
      </c>
      <c r="B19" s="16">
        <v>161096777.05</v>
      </c>
      <c r="C19" s="16">
        <f t="shared" si="0"/>
        <v>147666876.86</v>
      </c>
      <c r="D19" s="16">
        <v>13429900.19</v>
      </c>
      <c r="E19" s="17">
        <f>54870/31</f>
        <v>1770</v>
      </c>
      <c r="F19" s="16">
        <f>D19/E19/31</f>
        <v>244.7585236012393</v>
      </c>
      <c r="H19" s="16">
        <v>6002302.16</v>
      </c>
      <c r="I19" s="16">
        <v>4204422.01</v>
      </c>
      <c r="J19" s="16">
        <v>1342990.05</v>
      </c>
      <c r="K19" s="16">
        <v>1342990.05</v>
      </c>
      <c r="L19" s="16">
        <v>537196</v>
      </c>
    </row>
    <row r="20" spans="1:12" ht="12.75">
      <c r="A20" s="3">
        <v>40422</v>
      </c>
      <c r="B20" s="16">
        <v>139185753.67</v>
      </c>
      <c r="C20" s="16">
        <f t="shared" si="0"/>
        <v>127453437.50999999</v>
      </c>
      <c r="D20" s="16">
        <v>11732316.16</v>
      </c>
      <c r="E20" s="17">
        <f>53280/30</f>
        <v>1776</v>
      </c>
      <c r="F20" s="16">
        <f>D20/E20/30</f>
        <v>220.20112912912913</v>
      </c>
      <c r="H20" s="16">
        <v>5725453.77</v>
      </c>
      <c r="I20" s="16">
        <v>3637018.01</v>
      </c>
      <c r="J20" s="16">
        <v>1173231.63</v>
      </c>
      <c r="K20" s="16">
        <v>1173231.63</v>
      </c>
      <c r="L20" s="16">
        <v>23381.2</v>
      </c>
    </row>
    <row r="21" spans="1:12" ht="12.75">
      <c r="A21" s="3">
        <v>40452</v>
      </c>
      <c r="B21" s="16">
        <v>149308797.97</v>
      </c>
      <c r="C21" s="16">
        <f t="shared" si="0"/>
        <v>136965275.57999998</v>
      </c>
      <c r="D21" s="16">
        <v>12343522.39</v>
      </c>
      <c r="E21" s="17">
        <f>55490/31</f>
        <v>1790</v>
      </c>
      <c r="F21" s="16">
        <f>D21/E21/31</f>
        <v>222.44588916921967</v>
      </c>
      <c r="H21" s="16">
        <v>6048325.98</v>
      </c>
      <c r="I21" s="16">
        <v>3826491.94</v>
      </c>
      <c r="J21" s="16">
        <v>1234352.24</v>
      </c>
      <c r="K21" s="16">
        <v>1234352.24</v>
      </c>
      <c r="L21" s="16">
        <v>0</v>
      </c>
    </row>
    <row r="22" spans="1:12" ht="12.75">
      <c r="A22" s="3">
        <v>40483</v>
      </c>
      <c r="B22" s="16">
        <v>129730966.52</v>
      </c>
      <c r="C22" s="16">
        <f t="shared" si="0"/>
        <v>119051364.81</v>
      </c>
      <c r="D22" s="16">
        <v>10679601.71</v>
      </c>
      <c r="E22" s="17">
        <f>53680/30</f>
        <v>1789.3333333333333</v>
      </c>
      <c r="F22" s="16">
        <f>D22/E22/30</f>
        <v>198.9493612146051</v>
      </c>
      <c r="H22" s="16">
        <v>5233004.81</v>
      </c>
      <c r="I22" s="16">
        <v>3310676.52</v>
      </c>
      <c r="J22" s="16">
        <v>1067960.18</v>
      </c>
      <c r="K22" s="16">
        <v>1067960.18</v>
      </c>
      <c r="L22" s="16">
        <v>0</v>
      </c>
    </row>
    <row r="23" spans="1:12" ht="12.75">
      <c r="A23" s="3">
        <v>40513</v>
      </c>
      <c r="B23" s="16">
        <v>121706289.33</v>
      </c>
      <c r="C23" s="16">
        <f t="shared" si="0"/>
        <v>111737630.75</v>
      </c>
      <c r="D23" s="16">
        <v>9968658.58</v>
      </c>
      <c r="E23" s="17">
        <f>55490/31</f>
        <v>1790</v>
      </c>
      <c r="F23" s="16">
        <f>D23/E23/31</f>
        <v>179.6478388898901</v>
      </c>
      <c r="H23" s="16">
        <v>5017426.18</v>
      </c>
      <c r="I23" s="16">
        <v>3090284.16</v>
      </c>
      <c r="J23" s="16">
        <v>864082.39</v>
      </c>
      <c r="K23" s="16">
        <v>996865.88</v>
      </c>
      <c r="L23" s="16">
        <v>0</v>
      </c>
    </row>
    <row r="24" spans="1:12" ht="12.75">
      <c r="A24" s="3">
        <v>40544</v>
      </c>
      <c r="B24" s="16">
        <v>130668239.33</v>
      </c>
      <c r="C24" s="16">
        <f t="shared" si="0"/>
        <v>119928761.42999999</v>
      </c>
      <c r="D24" s="16">
        <v>10739477.9</v>
      </c>
      <c r="E24" s="17">
        <f>55490/31</f>
        <v>1790</v>
      </c>
      <c r="F24" s="16">
        <f>D24/E24/31</f>
        <v>193.53897819426925</v>
      </c>
      <c r="H24" s="16">
        <v>5477133.76</v>
      </c>
      <c r="I24" s="16">
        <v>3329238.17</v>
      </c>
      <c r="J24" s="16">
        <v>859158.23</v>
      </c>
      <c r="K24" s="16">
        <v>1073947.81</v>
      </c>
      <c r="L24" s="16">
        <v>0</v>
      </c>
    </row>
    <row r="25" spans="1:12" ht="12.75">
      <c r="A25" s="3">
        <v>40575</v>
      </c>
      <c r="B25" s="16">
        <v>131637669.02</v>
      </c>
      <c r="C25" s="16">
        <f t="shared" si="0"/>
        <v>120852310.11999999</v>
      </c>
      <c r="D25" s="16">
        <v>10785358.9</v>
      </c>
      <c r="E25" s="17">
        <f>50120/28</f>
        <v>1790</v>
      </c>
      <c r="F25" s="16">
        <f>D25/E25/28</f>
        <v>215.19072027134877</v>
      </c>
      <c r="H25" s="16">
        <v>5500533.05</v>
      </c>
      <c r="I25" s="16">
        <v>3343461.25</v>
      </c>
      <c r="J25" s="16">
        <v>862828.74</v>
      </c>
      <c r="K25" s="16">
        <v>1078535.91</v>
      </c>
      <c r="L25" s="16">
        <v>0</v>
      </c>
    </row>
    <row r="26" spans="1:12" ht="12.75">
      <c r="A26" s="3">
        <v>40603</v>
      </c>
      <c r="B26" s="16">
        <v>151164581.93</v>
      </c>
      <c r="C26" s="16">
        <f t="shared" si="0"/>
        <v>138778889</v>
      </c>
      <c r="D26" s="16">
        <v>12385692.93</v>
      </c>
      <c r="E26" s="17">
        <f>55490/31</f>
        <v>1790</v>
      </c>
      <c r="F26" s="16">
        <f>D26/E26/31</f>
        <v>223.2058556496666</v>
      </c>
      <c r="G26" s="16">
        <v>6316703.41</v>
      </c>
      <c r="H26" s="16">
        <v>6316703.41</v>
      </c>
      <c r="I26" s="16">
        <v>3839564.82</v>
      </c>
      <c r="J26" s="16">
        <v>990855.43</v>
      </c>
      <c r="K26" s="16">
        <v>1238569.31</v>
      </c>
      <c r="L26" s="16">
        <v>0</v>
      </c>
    </row>
    <row r="27" spans="1:12" ht="13.5" thickBot="1">
      <c r="A27" s="3" t="s">
        <v>20</v>
      </c>
      <c r="B27" s="18">
        <f>SUM(B15:B26)</f>
        <v>1694264856.43</v>
      </c>
      <c r="C27" s="18">
        <f>SUM(C15:C26)</f>
        <v>1553714756.6999998</v>
      </c>
      <c r="D27" s="18">
        <f>SUM(D15:D26)</f>
        <v>140550099.73</v>
      </c>
      <c r="H27" s="18">
        <f>SUM(H15:H26)</f>
        <v>66654534.28</v>
      </c>
      <c r="I27" s="18">
        <f>SUM(I15:I26)</f>
        <v>44096539.6</v>
      </c>
      <c r="J27" s="18">
        <f>SUM(J15:J26)</f>
        <v>13244016.05</v>
      </c>
      <c r="K27" s="18">
        <f>SUM(K15:K26)</f>
        <v>14055010.170000002</v>
      </c>
      <c r="L27" s="18">
        <f>SUM(L15:L26)</f>
        <v>2500000</v>
      </c>
    </row>
    <row r="28" spans="2:12" ht="10.5" customHeight="1" thickTop="1">
      <c r="B28" s="19"/>
      <c r="C28" s="19"/>
      <c r="D28" s="19"/>
      <c r="H28" s="19"/>
      <c r="I28" s="19"/>
      <c r="J28" s="19"/>
      <c r="K28" s="19"/>
      <c r="L28" s="19"/>
    </row>
    <row r="29" spans="1:12" s="22" customFormat="1" ht="12.75">
      <c r="A29" s="20"/>
      <c r="B29" s="21"/>
      <c r="C29" s="21">
        <f>C27/B27</f>
        <v>0.9170436079125465</v>
      </c>
      <c r="D29" s="21">
        <f>D27/B27</f>
        <v>0.08295639208745338</v>
      </c>
      <c r="H29" s="21">
        <f>H27/$D$27</f>
        <v>0.47424039120601774</v>
      </c>
      <c r="I29" s="21">
        <f>I27/$D$27</f>
        <v>0.31374249954080774</v>
      </c>
      <c r="J29" s="21">
        <f>J27/$D$27</f>
        <v>0.09422985878659683</v>
      </c>
      <c r="K29" s="21">
        <f>K27/$D$27</f>
        <v>0.10000000140163545</v>
      </c>
      <c r="L29" s="21">
        <f>L27/$D$27</f>
        <v>0.01778725169745563</v>
      </c>
    </row>
    <row r="31" spans="1:12" s="23" customFormat="1" ht="12.75">
      <c r="A31" s="74" t="s">
        <v>21</v>
      </c>
      <c r="B31" s="75"/>
      <c r="C31" s="75"/>
      <c r="D31" s="75"/>
      <c r="E31" s="75"/>
      <c r="F31" s="75"/>
      <c r="G31" s="75"/>
      <c r="H31" s="75"/>
      <c r="I31" s="75"/>
      <c r="J31" s="75"/>
      <c r="K31" s="75"/>
      <c r="L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2" s="46" customFormat="1" ht="6" customHeight="1">
      <c r="A35" s="42"/>
      <c r="B35" s="43"/>
      <c r="C35" s="44"/>
      <c r="D35" s="47"/>
      <c r="E35" s="44"/>
      <c r="F35" s="44"/>
      <c r="G35" s="44"/>
      <c r="H35" s="44"/>
      <c r="I35" s="43"/>
      <c r="J35" s="43"/>
      <c r="K35" s="43"/>
      <c r="L35" s="43"/>
    </row>
    <row r="36" spans="1:12" s="46" customFormat="1" ht="12.75">
      <c r="A36" s="42" t="s">
        <v>23</v>
      </c>
      <c r="B36" s="43"/>
      <c r="C36" s="44" t="s">
        <v>24</v>
      </c>
      <c r="D36" s="47"/>
      <c r="E36" s="44"/>
      <c r="F36" s="44"/>
      <c r="G36" s="44"/>
      <c r="H36" s="44"/>
      <c r="I36" s="43"/>
      <c r="J36" s="43"/>
      <c r="K36" s="43"/>
      <c r="L36" s="43"/>
    </row>
    <row r="37" spans="1:12" s="46" customFormat="1" ht="6" customHeight="1">
      <c r="A37" s="42"/>
      <c r="B37" s="43"/>
      <c r="C37" s="44"/>
      <c r="D37" s="47"/>
      <c r="E37" s="44"/>
      <c r="F37" s="44"/>
      <c r="G37" s="44"/>
      <c r="H37" s="44"/>
      <c r="I37" s="43"/>
      <c r="J37" s="43"/>
      <c r="K37" s="43"/>
      <c r="L37" s="43"/>
    </row>
    <row r="38" spans="1:12" s="46" customFormat="1" ht="12.75">
      <c r="A38" s="42" t="s">
        <v>25</v>
      </c>
      <c r="B38" s="43"/>
      <c r="C38" s="43" t="s">
        <v>58</v>
      </c>
      <c r="D38" s="47"/>
      <c r="E38" s="48"/>
      <c r="F38" s="43"/>
      <c r="G38" s="43"/>
      <c r="H38" s="43"/>
      <c r="I38" s="43"/>
      <c r="J38" s="43"/>
      <c r="K38" s="43"/>
      <c r="L38" s="43"/>
    </row>
    <row r="39" spans="1:12" s="46" customFormat="1" ht="12.75">
      <c r="A39" s="42"/>
      <c r="B39" s="43"/>
      <c r="C39" s="43" t="s">
        <v>59</v>
      </c>
      <c r="D39" s="47"/>
      <c r="E39" s="48"/>
      <c r="F39" s="43"/>
      <c r="G39" s="43"/>
      <c r="H39" s="43"/>
      <c r="I39" s="43"/>
      <c r="J39" s="43"/>
      <c r="K39" s="43"/>
      <c r="L39" s="43"/>
    </row>
    <row r="40" spans="1:12" s="46" customFormat="1" ht="6" customHeight="1">
      <c r="A40" s="42"/>
      <c r="B40" s="43"/>
      <c r="C40" s="43"/>
      <c r="D40" s="47"/>
      <c r="E40" s="48"/>
      <c r="F40" s="43"/>
      <c r="G40" s="43"/>
      <c r="H40" s="43"/>
      <c r="I40" s="43"/>
      <c r="J40" s="43"/>
      <c r="K40" s="43"/>
      <c r="L40" s="43"/>
    </row>
    <row r="41" spans="1:12" s="46" customFormat="1" ht="12.75">
      <c r="A41" s="42" t="s">
        <v>28</v>
      </c>
      <c r="B41" s="43"/>
      <c r="C41" s="43" t="s">
        <v>29</v>
      </c>
      <c r="D41" s="47"/>
      <c r="E41" s="48"/>
      <c r="F41" s="43"/>
      <c r="G41" s="43"/>
      <c r="H41" s="43"/>
      <c r="I41" s="43"/>
      <c r="J41" s="43"/>
      <c r="K41" s="43"/>
      <c r="L41" s="43"/>
    </row>
    <row r="42" spans="1:12" s="46" customFormat="1" ht="6" customHeight="1">
      <c r="A42" s="42"/>
      <c r="B42" s="43"/>
      <c r="C42" s="43"/>
      <c r="D42" s="47"/>
      <c r="E42" s="48"/>
      <c r="F42" s="43"/>
      <c r="G42" s="43"/>
      <c r="H42" s="43"/>
      <c r="I42" s="43"/>
      <c r="J42" s="43"/>
      <c r="K42" s="43"/>
      <c r="L42" s="43"/>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2" s="46" customFormat="1" ht="6" customHeight="1">
      <c r="A46" s="42"/>
      <c r="B46" s="43"/>
      <c r="C46" s="43"/>
      <c r="D46" s="47"/>
      <c r="E46" s="48"/>
      <c r="F46" s="43"/>
      <c r="G46" s="43"/>
      <c r="H46" s="43"/>
      <c r="I46" s="43"/>
      <c r="J46" s="43"/>
      <c r="K46" s="43"/>
      <c r="L46" s="43"/>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2" s="46" customFormat="1" ht="6" customHeight="1">
      <c r="A49" s="42"/>
      <c r="B49" s="43"/>
      <c r="C49" s="43"/>
      <c r="D49" s="47"/>
      <c r="E49" s="48"/>
      <c r="F49" s="43"/>
      <c r="G49" s="43"/>
      <c r="H49" s="43"/>
      <c r="I49" s="43"/>
      <c r="J49" s="43"/>
      <c r="K49" s="43"/>
      <c r="L49" s="43"/>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2" s="46" customFormat="1" ht="6" customHeight="1">
      <c r="A52" s="50"/>
      <c r="B52" s="51"/>
      <c r="C52" s="51"/>
      <c r="D52" s="51"/>
      <c r="E52" s="52"/>
      <c r="F52" s="51"/>
      <c r="G52" s="51"/>
      <c r="H52" s="51"/>
      <c r="I52" s="51"/>
      <c r="J52" s="51"/>
      <c r="K52" s="51"/>
      <c r="L52" s="51"/>
    </row>
    <row r="53" spans="1:12" s="46" customFormat="1" ht="12.75">
      <c r="A53" s="42" t="s">
        <v>47</v>
      </c>
      <c r="B53" s="43"/>
      <c r="C53" s="43" t="s">
        <v>60</v>
      </c>
      <c r="D53" s="47"/>
      <c r="E53" s="48"/>
      <c r="F53" s="43"/>
      <c r="G53" s="43"/>
      <c r="H53" s="43"/>
      <c r="I53" s="43"/>
      <c r="J53" s="43"/>
      <c r="K53" s="43"/>
      <c r="L53" s="47"/>
    </row>
    <row r="54" spans="1:12" s="46" customFormat="1" ht="12.75">
      <c r="A54" s="49"/>
      <c r="B54" s="43"/>
      <c r="C54" s="43" t="s">
        <v>61</v>
      </c>
      <c r="D54" s="47"/>
      <c r="E54" s="48"/>
      <c r="F54" s="43"/>
      <c r="G54" s="43"/>
      <c r="H54" s="43"/>
      <c r="I54" s="43"/>
      <c r="J54" s="43"/>
      <c r="K54" s="43"/>
      <c r="L54" s="47"/>
    </row>
    <row r="55" spans="1:12" s="46" customFormat="1" ht="12.75">
      <c r="A55" s="49"/>
      <c r="B55" s="43"/>
      <c r="C55" s="43" t="s">
        <v>62</v>
      </c>
      <c r="D55" s="47"/>
      <c r="E55" s="48"/>
      <c r="F55" s="43"/>
      <c r="G55" s="43"/>
      <c r="H55" s="43"/>
      <c r="I55" s="43"/>
      <c r="J55" s="43"/>
      <c r="K55" s="43"/>
      <c r="L55" s="47"/>
    </row>
    <row r="56" spans="1:12" ht="12.75">
      <c r="A56" s="29"/>
      <c r="B56" s="30"/>
      <c r="C56" s="26"/>
      <c r="D56" s="30"/>
      <c r="E56" s="31"/>
      <c r="F56" s="30"/>
      <c r="G56" s="30"/>
      <c r="H56" s="30"/>
      <c r="I56" s="30"/>
      <c r="J56" s="30"/>
      <c r="K56" s="30"/>
      <c r="L56" s="30"/>
    </row>
    <row r="57" spans="1:12" s="23" customFormat="1" ht="12.75">
      <c r="A57" s="74" t="s">
        <v>31</v>
      </c>
      <c r="B57" s="75"/>
      <c r="C57" s="75"/>
      <c r="D57" s="75"/>
      <c r="E57" s="75"/>
      <c r="F57" s="75"/>
      <c r="G57" s="75"/>
      <c r="H57" s="75"/>
      <c r="I57" s="75"/>
      <c r="J57" s="75"/>
      <c r="K57" s="75"/>
      <c r="L57" s="81"/>
    </row>
    <row r="58" ht="12.75">
      <c r="A58" s="24"/>
    </row>
    <row r="59" spans="1:12" ht="13.5">
      <c r="A59" s="32"/>
      <c r="F59" s="10" t="s">
        <v>9</v>
      </c>
      <c r="G59" s="33"/>
      <c r="H59" s="10" t="s">
        <v>83</v>
      </c>
      <c r="I59" s="10" t="s">
        <v>10</v>
      </c>
      <c r="J59" s="54" t="s">
        <v>84</v>
      </c>
      <c r="K59" s="10" t="s">
        <v>45</v>
      </c>
      <c r="L59" s="34"/>
    </row>
    <row r="60" spans="1:12" ht="12.75">
      <c r="A60" s="35"/>
      <c r="F60" s="8" t="s">
        <v>17</v>
      </c>
      <c r="G60" s="36"/>
      <c r="H60" s="8" t="s">
        <v>18</v>
      </c>
      <c r="I60" s="8" t="s">
        <v>19</v>
      </c>
      <c r="J60" s="55" t="s">
        <v>85</v>
      </c>
      <c r="K60" s="8" t="s">
        <v>46</v>
      </c>
      <c r="L60" s="34"/>
    </row>
    <row r="61" spans="2:12" ht="12.75">
      <c r="B61" s="39" t="s">
        <v>55</v>
      </c>
      <c r="C61" s="39"/>
      <c r="D61" s="26"/>
      <c r="E61" s="27"/>
      <c r="F61" s="40">
        <v>0.45</v>
      </c>
      <c r="G61" s="26"/>
      <c r="H61" s="40">
        <v>0.31</v>
      </c>
      <c r="I61" s="40">
        <v>0.1</v>
      </c>
      <c r="J61" s="40">
        <v>0.1</v>
      </c>
      <c r="K61" s="40">
        <v>0.04</v>
      </c>
      <c r="L61" s="38"/>
    </row>
    <row r="62" spans="2:12" ht="12.75">
      <c r="B62" s="39" t="s">
        <v>56</v>
      </c>
      <c r="C62" s="39"/>
      <c r="D62" s="26"/>
      <c r="E62" s="27"/>
      <c r="F62" s="40">
        <v>0.49</v>
      </c>
      <c r="G62" s="26"/>
      <c r="H62" s="40">
        <v>0.31</v>
      </c>
      <c r="I62" s="40">
        <v>0.1</v>
      </c>
      <c r="J62" s="40">
        <v>0.1</v>
      </c>
      <c r="K62" s="40">
        <v>0</v>
      </c>
      <c r="L62" s="38"/>
    </row>
    <row r="63" spans="2:12" ht="12.75">
      <c r="B63" s="39" t="s">
        <v>53</v>
      </c>
      <c r="C63" s="39"/>
      <c r="D63" s="26"/>
      <c r="E63" s="27"/>
      <c r="F63" s="40">
        <v>0.51</v>
      </c>
      <c r="G63" s="26"/>
      <c r="H63" s="40">
        <v>0.31</v>
      </c>
      <c r="I63" s="40">
        <v>0.08</v>
      </c>
      <c r="J63" s="40">
        <v>0.1</v>
      </c>
      <c r="K63" s="40">
        <v>0</v>
      </c>
      <c r="L63" s="38"/>
    </row>
    <row r="64" spans="2:12" ht="12.75">
      <c r="B64" s="39"/>
      <c r="C64" s="39"/>
      <c r="D64" s="26"/>
      <c r="E64" s="27"/>
      <c r="F64" s="40"/>
      <c r="G64" s="26"/>
      <c r="H64" s="40"/>
      <c r="I64" s="40"/>
      <c r="J64" s="40"/>
      <c r="K64" s="40"/>
      <c r="L64" s="38"/>
    </row>
    <row r="65" spans="1:12" s="23" customFormat="1" ht="12.75">
      <c r="A65" s="53" t="s">
        <v>73</v>
      </c>
      <c r="B65" s="39"/>
      <c r="C65" s="39"/>
      <c r="D65" s="26"/>
      <c r="E65" s="27"/>
      <c r="F65" s="40"/>
      <c r="G65" s="26"/>
      <c r="H65" s="40"/>
      <c r="I65" s="40"/>
      <c r="J65" s="40"/>
      <c r="K65" s="40"/>
      <c r="L65" s="38"/>
    </row>
    <row r="66" spans="1:12" s="23" customFormat="1" ht="12.75">
      <c r="A66" s="53" t="s">
        <v>72</v>
      </c>
      <c r="B66" s="39"/>
      <c r="C66" s="39"/>
      <c r="D66" s="26"/>
      <c r="E66" s="27"/>
      <c r="F66" s="40"/>
      <c r="G66" s="26"/>
      <c r="H66" s="40"/>
      <c r="I66" s="40"/>
      <c r="J66" s="40"/>
      <c r="K66" s="40"/>
      <c r="L66" s="38"/>
    </row>
    <row r="67" spans="1:2" ht="12.75">
      <c r="A67" s="24"/>
      <c r="B67" s="39"/>
    </row>
    <row r="68" spans="1:12" s="23" customFormat="1" ht="12.75">
      <c r="A68" s="77" t="s">
        <v>41</v>
      </c>
      <c r="B68" s="78"/>
      <c r="C68" s="78"/>
      <c r="D68" s="78"/>
      <c r="E68" s="78"/>
      <c r="F68" s="78"/>
      <c r="G68" s="78"/>
      <c r="H68" s="78"/>
      <c r="I68" s="78"/>
      <c r="J68" s="78"/>
      <c r="K68" s="78"/>
      <c r="L68" s="82"/>
    </row>
    <row r="69" spans="1:5" ht="12.75">
      <c r="A69" s="24"/>
      <c r="D69"/>
      <c r="E69" s="16"/>
    </row>
    <row r="70" spans="1:12" ht="51.75" customHeight="1">
      <c r="A70" s="80" t="s">
        <v>71</v>
      </c>
      <c r="B70" s="80"/>
      <c r="C70" s="80"/>
      <c r="D70" s="80"/>
      <c r="E70" s="80"/>
      <c r="F70" s="80"/>
      <c r="G70" s="80"/>
      <c r="H70" s="80"/>
      <c r="I70" s="80"/>
      <c r="J70" s="80"/>
      <c r="K70" s="80"/>
      <c r="L70" s="80"/>
    </row>
    <row r="71" spans="1:5" ht="12.75">
      <c r="A71" s="16"/>
      <c r="D71"/>
      <c r="E71" s="16"/>
    </row>
    <row r="72" spans="2:4" ht="12.75">
      <c r="B72" s="24" t="s">
        <v>42</v>
      </c>
      <c r="C72" s="24"/>
      <c r="D72" s="16">
        <v>0</v>
      </c>
    </row>
    <row r="73" spans="2:4" ht="12.75">
      <c r="B73" s="24" t="s">
        <v>43</v>
      </c>
      <c r="C73" s="24"/>
      <c r="D73" s="16">
        <v>0</v>
      </c>
    </row>
    <row r="74" spans="2:4" ht="12.75">
      <c r="B74" s="16" t="s">
        <v>32</v>
      </c>
      <c r="C74" s="16" t="s">
        <v>32</v>
      </c>
      <c r="D74" s="16" t="s">
        <v>32</v>
      </c>
    </row>
    <row r="75" ht="12.75">
      <c r="D75" s="16" t="s">
        <v>32</v>
      </c>
    </row>
    <row r="76" ht="12.75">
      <c r="A76" s="24" t="s">
        <v>34</v>
      </c>
    </row>
  </sheetData>
  <sheetProtection/>
  <mergeCells count="11">
    <mergeCell ref="A57:L57"/>
    <mergeCell ref="A70:L70"/>
    <mergeCell ref="H10:L10"/>
    <mergeCell ref="A8:L8"/>
    <mergeCell ref="A1:L1"/>
    <mergeCell ref="A5:L5"/>
    <mergeCell ref="A4:L4"/>
    <mergeCell ref="A3:L3"/>
    <mergeCell ref="A2:L2"/>
    <mergeCell ref="A68:L68"/>
    <mergeCell ref="A31:L31"/>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4"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7.7109375" style="17" customWidth="1"/>
    <col min="6" max="6" width="9.28125" style="16" customWidth="1"/>
    <col min="7" max="7" width="1.421875" style="16" customWidth="1"/>
    <col min="8" max="8" width="13.140625" style="16" customWidth="1"/>
    <col min="9" max="9" width="12.57421875" style="16" customWidth="1"/>
    <col min="10" max="11" width="12.8515625" style="16" bestFit="1" customWidth="1"/>
    <col min="12" max="12" width="12.421875" style="16" customWidth="1"/>
    <col min="13" max="13" width="12.7109375" style="0" customWidth="1"/>
  </cols>
  <sheetData>
    <row r="1" spans="1:12" ht="18">
      <c r="A1" s="70" t="s">
        <v>0</v>
      </c>
      <c r="B1" s="70"/>
      <c r="C1" s="70"/>
      <c r="D1" s="70"/>
      <c r="E1" s="70"/>
      <c r="F1" s="70"/>
      <c r="G1" s="70"/>
      <c r="H1" s="70"/>
      <c r="I1" s="70"/>
      <c r="J1" s="70"/>
      <c r="K1" s="70"/>
      <c r="L1" s="70"/>
    </row>
    <row r="2" spans="1:12" ht="15">
      <c r="A2" s="71" t="s">
        <v>1</v>
      </c>
      <c r="B2" s="71"/>
      <c r="C2" s="71"/>
      <c r="D2" s="71"/>
      <c r="E2" s="71"/>
      <c r="F2" s="71"/>
      <c r="G2" s="71"/>
      <c r="H2" s="71"/>
      <c r="I2" s="71"/>
      <c r="J2" s="71"/>
      <c r="K2" s="71"/>
      <c r="L2" s="71"/>
    </row>
    <row r="3" spans="1:12" s="1" customFormat="1" ht="15">
      <c r="A3" s="71" t="s">
        <v>2</v>
      </c>
      <c r="B3" s="71"/>
      <c r="C3" s="71"/>
      <c r="D3" s="71"/>
      <c r="E3" s="71"/>
      <c r="F3" s="71"/>
      <c r="G3" s="71"/>
      <c r="H3" s="71"/>
      <c r="I3" s="71"/>
      <c r="J3" s="71"/>
      <c r="K3" s="71"/>
      <c r="L3" s="71"/>
    </row>
    <row r="4" spans="1:12" s="1" customFormat="1" ht="14.25">
      <c r="A4" s="83" t="s">
        <v>3</v>
      </c>
      <c r="B4" s="83"/>
      <c r="C4" s="83"/>
      <c r="D4" s="83"/>
      <c r="E4" s="83"/>
      <c r="F4" s="83"/>
      <c r="G4" s="83"/>
      <c r="H4" s="83"/>
      <c r="I4" s="83"/>
      <c r="J4" s="83"/>
      <c r="K4" s="83"/>
      <c r="L4" s="83"/>
    </row>
    <row r="5" spans="1:12" s="1" customFormat="1" ht="14.25">
      <c r="A5" s="73" t="s">
        <v>4</v>
      </c>
      <c r="B5" s="73"/>
      <c r="C5" s="73"/>
      <c r="D5" s="73"/>
      <c r="E5" s="73"/>
      <c r="F5" s="73"/>
      <c r="G5" s="73"/>
      <c r="H5" s="73"/>
      <c r="I5" s="73"/>
      <c r="J5" s="73"/>
      <c r="K5" s="73"/>
      <c r="L5" s="73"/>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74" t="s">
        <v>64</v>
      </c>
      <c r="B8" s="75"/>
      <c r="C8" s="75"/>
      <c r="D8" s="75"/>
      <c r="E8" s="75"/>
      <c r="F8" s="75"/>
      <c r="G8" s="75"/>
      <c r="H8" s="75"/>
      <c r="I8" s="75"/>
      <c r="J8" s="75"/>
      <c r="K8" s="75"/>
      <c r="L8" s="81"/>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76" t="s">
        <v>5</v>
      </c>
      <c r="I10" s="76"/>
      <c r="J10" s="76"/>
      <c r="K10" s="76"/>
      <c r="L10" s="76"/>
    </row>
    <row r="11" spans="1:12" s="1" customFormat="1" ht="12.75">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83</v>
      </c>
      <c r="J12" s="10" t="s">
        <v>10</v>
      </c>
      <c r="K12" s="10" t="s">
        <v>84</v>
      </c>
      <c r="L12" s="10" t="s">
        <v>45</v>
      </c>
    </row>
    <row r="13" spans="1:12" s="12" customFormat="1" ht="12">
      <c r="A13" s="13" t="s">
        <v>11</v>
      </c>
      <c r="B13" s="8" t="s">
        <v>12</v>
      </c>
      <c r="C13" s="8" t="s">
        <v>13</v>
      </c>
      <c r="D13" s="8" t="s">
        <v>14</v>
      </c>
      <c r="E13" s="14" t="s">
        <v>15</v>
      </c>
      <c r="F13" s="8" t="s">
        <v>16</v>
      </c>
      <c r="G13" s="15"/>
      <c r="H13" s="8" t="s">
        <v>17</v>
      </c>
      <c r="I13" s="8" t="s">
        <v>18</v>
      </c>
      <c r="J13" s="8" t="s">
        <v>19</v>
      </c>
      <c r="K13" s="8" t="s">
        <v>85</v>
      </c>
      <c r="L13" s="8" t="s">
        <v>46</v>
      </c>
    </row>
    <row r="15" spans="1:12" ht="12.75">
      <c r="A15" s="3">
        <v>39904</v>
      </c>
      <c r="B15" s="16">
        <v>133383166.87</v>
      </c>
      <c r="C15" s="16">
        <f aca="true" t="shared" si="0" ref="C15:C26">+B15-D15</f>
        <v>122015296.60000001</v>
      </c>
      <c r="D15" s="16">
        <v>11367870.27</v>
      </c>
      <c r="E15" s="17">
        <f>53100/30</f>
        <v>1770</v>
      </c>
      <c r="F15" s="16">
        <f>D15/E15/30</f>
        <v>214.0841858757062</v>
      </c>
      <c r="H15" s="16">
        <v>5001862.94</v>
      </c>
      <c r="I15" s="16">
        <v>3637718.46</v>
      </c>
      <c r="J15" s="16">
        <v>1136787.04</v>
      </c>
      <c r="K15" s="16">
        <v>1136787.04</v>
      </c>
      <c r="L15" s="16">
        <v>454714.81</v>
      </c>
    </row>
    <row r="16" spans="1:12" ht="12.75">
      <c r="A16" s="3">
        <v>39934</v>
      </c>
      <c r="B16" s="16">
        <v>148010696.45</v>
      </c>
      <c r="C16" s="16">
        <f t="shared" si="0"/>
        <v>135473138.7</v>
      </c>
      <c r="D16" s="16">
        <v>12537557.75</v>
      </c>
      <c r="E16" s="17">
        <f>54870/31</f>
        <v>1770</v>
      </c>
      <c r="F16" s="16">
        <f>D16/E16/31</f>
        <v>228.49567614361217</v>
      </c>
      <c r="H16" s="16">
        <v>5516525.43</v>
      </c>
      <c r="I16" s="16">
        <v>4012018.49</v>
      </c>
      <c r="J16" s="16">
        <v>1253755.76</v>
      </c>
      <c r="K16" s="16">
        <v>1253755.76</v>
      </c>
      <c r="L16" s="16">
        <v>501502.33</v>
      </c>
    </row>
    <row r="17" spans="1:12" ht="12.75">
      <c r="A17" s="3">
        <v>39965</v>
      </c>
      <c r="B17" s="16">
        <v>132179188.01</v>
      </c>
      <c r="C17" s="16">
        <f t="shared" si="0"/>
        <v>120680021.14</v>
      </c>
      <c r="D17" s="16">
        <v>11499166.87</v>
      </c>
      <c r="E17" s="17">
        <f>53100/30</f>
        <v>1770</v>
      </c>
      <c r="F17" s="16">
        <f>D17/E17/30</f>
        <v>216.55681487758946</v>
      </c>
      <c r="H17" s="16">
        <v>5059633.47</v>
      </c>
      <c r="I17" s="16">
        <v>3679733.38</v>
      </c>
      <c r="J17" s="16">
        <v>1149916.69</v>
      </c>
      <c r="K17" s="16">
        <v>1149916.69</v>
      </c>
      <c r="L17" s="16">
        <v>459966.67</v>
      </c>
    </row>
    <row r="18" spans="1:12" ht="12.75">
      <c r="A18" s="3">
        <v>39995</v>
      </c>
      <c r="B18" s="16">
        <v>144080712.13</v>
      </c>
      <c r="C18" s="16">
        <f t="shared" si="0"/>
        <v>131685600.44999999</v>
      </c>
      <c r="D18" s="16">
        <v>12395111.68</v>
      </c>
      <c r="E18" s="17">
        <f>54870/31</f>
        <v>1770</v>
      </c>
      <c r="F18" s="16">
        <f>D18/E18/31</f>
        <v>225.89961144523417</v>
      </c>
      <c r="H18" s="16">
        <v>5453849.14</v>
      </c>
      <c r="I18" s="16">
        <v>3966435.73</v>
      </c>
      <c r="J18" s="16">
        <v>1239511.18</v>
      </c>
      <c r="K18" s="16">
        <v>1239511.18</v>
      </c>
      <c r="L18" s="16">
        <v>495804.45</v>
      </c>
    </row>
    <row r="19" spans="1:12" ht="12.75">
      <c r="A19" s="3">
        <v>40026</v>
      </c>
      <c r="B19" s="16">
        <v>159217382.72</v>
      </c>
      <c r="C19" s="16">
        <f t="shared" si="0"/>
        <v>145546528.66</v>
      </c>
      <c r="D19" s="16">
        <v>13670854.06</v>
      </c>
      <c r="E19" s="17">
        <f>54870/31</f>
        <v>1770</v>
      </c>
      <c r="F19" s="16">
        <f>D19/E19/31</f>
        <v>249.14988263167487</v>
      </c>
      <c r="H19" s="16">
        <v>6015175.81</v>
      </c>
      <c r="I19" s="16">
        <v>4374673.31</v>
      </c>
      <c r="J19" s="16">
        <v>1367085.42</v>
      </c>
      <c r="K19" s="16">
        <v>1367085.42</v>
      </c>
      <c r="L19" s="16">
        <v>546834.18</v>
      </c>
    </row>
    <row r="20" spans="1:12" ht="12.75">
      <c r="A20" s="3">
        <v>40057</v>
      </c>
      <c r="B20" s="16">
        <v>132015052.81</v>
      </c>
      <c r="C20" s="16">
        <f t="shared" si="0"/>
        <v>120833408.27000001</v>
      </c>
      <c r="D20" s="16">
        <v>11181644.54</v>
      </c>
      <c r="E20" s="17">
        <f>53100/30</f>
        <v>1770</v>
      </c>
      <c r="F20" s="16">
        <f>D20/E20/30</f>
        <v>210.5771099811676</v>
      </c>
      <c r="H20" s="16">
        <v>5326011.82</v>
      </c>
      <c r="I20" s="16">
        <v>3578126.26</v>
      </c>
      <c r="J20" s="16">
        <v>1118164.49</v>
      </c>
      <c r="K20" s="16">
        <v>1118164.49</v>
      </c>
      <c r="L20" s="16">
        <v>41177.56</v>
      </c>
    </row>
    <row r="21" spans="1:12" ht="12.75">
      <c r="A21" s="3">
        <v>40087</v>
      </c>
      <c r="B21" s="16">
        <v>127832285.19</v>
      </c>
      <c r="C21" s="16">
        <f t="shared" si="0"/>
        <v>116767841.82</v>
      </c>
      <c r="D21" s="16">
        <v>11064443.37</v>
      </c>
      <c r="E21" s="17">
        <f>54870/31</f>
        <v>1770</v>
      </c>
      <c r="F21" s="16">
        <f>D21/E21/31</f>
        <v>201.6483209404046</v>
      </c>
      <c r="H21" s="16">
        <v>5310932.83</v>
      </c>
      <c r="I21" s="16">
        <v>3540621.89</v>
      </c>
      <c r="J21" s="16">
        <v>1106444.33</v>
      </c>
      <c r="K21" s="16">
        <v>1106444.33</v>
      </c>
      <c r="L21" s="16">
        <v>0</v>
      </c>
    </row>
    <row r="22" spans="1:12" ht="12.75">
      <c r="A22" s="3">
        <v>40118</v>
      </c>
      <c r="B22" s="16">
        <v>123731638.02</v>
      </c>
      <c r="C22" s="16">
        <f t="shared" si="0"/>
        <v>113096083.46</v>
      </c>
      <c r="D22" s="16">
        <v>10635554.56</v>
      </c>
      <c r="E22" s="17">
        <f>53100/30</f>
        <v>1770</v>
      </c>
      <c r="F22" s="16">
        <f>D22/E22/30</f>
        <v>200.292929566855</v>
      </c>
      <c r="H22" s="16">
        <v>5105066.18</v>
      </c>
      <c r="I22" s="16">
        <v>3403377.44</v>
      </c>
      <c r="J22" s="16">
        <v>1063555.45</v>
      </c>
      <c r="K22" s="16">
        <v>1063555.45</v>
      </c>
      <c r="L22" s="16">
        <v>0</v>
      </c>
    </row>
    <row r="23" spans="1:12" ht="12.75">
      <c r="A23" s="3">
        <v>40148</v>
      </c>
      <c r="B23" s="16">
        <v>107788342.84</v>
      </c>
      <c r="C23" s="16">
        <f t="shared" si="0"/>
        <v>98546678.55000001</v>
      </c>
      <c r="D23" s="16">
        <v>9241664.29</v>
      </c>
      <c r="E23" s="17">
        <f>54870/31</f>
        <v>1770</v>
      </c>
      <c r="F23" s="16">
        <f>D23/E23/31</f>
        <v>168.42836322216147</v>
      </c>
      <c r="H23" s="16">
        <v>4507876.24</v>
      </c>
      <c r="I23" s="16">
        <v>2957332.57</v>
      </c>
      <c r="J23" s="16">
        <v>852289.06</v>
      </c>
      <c r="K23" s="16">
        <v>924166.41</v>
      </c>
      <c r="L23" s="16">
        <v>0</v>
      </c>
    </row>
    <row r="24" spans="1:12" ht="12.75">
      <c r="A24" s="3">
        <v>40179</v>
      </c>
      <c r="B24" s="16">
        <v>127498342.59</v>
      </c>
      <c r="C24" s="16">
        <f t="shared" si="0"/>
        <v>116655720.28</v>
      </c>
      <c r="D24" s="16">
        <v>10842622.31</v>
      </c>
      <c r="E24" s="17">
        <f>54870/31</f>
        <v>1770</v>
      </c>
      <c r="F24" s="16">
        <f>D24/E24/31</f>
        <v>197.60565536723163</v>
      </c>
      <c r="H24" s="16">
        <v>5421311.23</v>
      </c>
      <c r="I24" s="16">
        <v>3469639.13</v>
      </c>
      <c r="J24" s="16">
        <v>867409.78</v>
      </c>
      <c r="K24" s="16">
        <v>1084262.23</v>
      </c>
      <c r="L24" s="16">
        <v>0</v>
      </c>
    </row>
    <row r="25" spans="1:12" ht="12.75">
      <c r="A25" s="3">
        <v>40210</v>
      </c>
      <c r="B25" s="16">
        <v>123352738.59</v>
      </c>
      <c r="C25" s="16">
        <f t="shared" si="0"/>
        <v>112961023.94</v>
      </c>
      <c r="D25" s="16">
        <v>10391714.65</v>
      </c>
      <c r="E25" s="17">
        <f>49560/28</f>
        <v>1770</v>
      </c>
      <c r="F25" s="16">
        <f>D25/E25/28</f>
        <v>209.67947235673932</v>
      </c>
      <c r="H25" s="16">
        <v>5195857.41</v>
      </c>
      <c r="I25" s="16">
        <v>3325348.69</v>
      </c>
      <c r="J25" s="16">
        <v>831337.16</v>
      </c>
      <c r="K25" s="16">
        <v>1039171.51</v>
      </c>
      <c r="L25" s="16">
        <v>0</v>
      </c>
    </row>
    <row r="26" spans="1:12" ht="12.75">
      <c r="A26" s="3">
        <v>40238</v>
      </c>
      <c r="B26" s="16">
        <v>139915781.06</v>
      </c>
      <c r="C26" s="16">
        <f t="shared" si="0"/>
        <v>128068002.55</v>
      </c>
      <c r="D26" s="16">
        <v>11847778.51</v>
      </c>
      <c r="E26" s="17">
        <f>54870/31</f>
        <v>1770</v>
      </c>
      <c r="F26" s="16">
        <f>D26/E26/31</f>
        <v>215.92452177874978</v>
      </c>
      <c r="H26" s="16">
        <v>5923889.31</v>
      </c>
      <c r="I26" s="16">
        <v>3791289.11</v>
      </c>
      <c r="J26" s="16">
        <v>947822.27</v>
      </c>
      <c r="K26" s="16">
        <v>1184777.87</v>
      </c>
      <c r="L26" s="16">
        <v>0</v>
      </c>
    </row>
    <row r="27" spans="1:12" ht="13.5" thickBot="1">
      <c r="A27" s="3" t="s">
        <v>20</v>
      </c>
      <c r="B27" s="18">
        <f>SUM(B15:B26)</f>
        <v>1599005327.2799997</v>
      </c>
      <c r="C27" s="18">
        <f>SUM(C15:C26)</f>
        <v>1462329344.4199998</v>
      </c>
      <c r="D27" s="18">
        <f>SUM(D15:D26)</f>
        <v>136675982.86</v>
      </c>
      <c r="H27" s="18">
        <f>SUM(H15:H26)</f>
        <v>63837991.81</v>
      </c>
      <c r="I27" s="18">
        <f>SUM(I15:I26)</f>
        <v>43736314.46</v>
      </c>
      <c r="J27" s="18">
        <f>SUM(J15:J26)</f>
        <v>12934078.629999999</v>
      </c>
      <c r="K27" s="18">
        <f>SUM(K15:K26)</f>
        <v>13667598.379999999</v>
      </c>
      <c r="L27" s="18">
        <f>SUM(L15:L26)</f>
        <v>2500000</v>
      </c>
    </row>
    <row r="28" spans="2:12" ht="10.5" customHeight="1" thickTop="1">
      <c r="B28" s="19"/>
      <c r="C28" s="19"/>
      <c r="D28" s="19"/>
      <c r="H28" s="19"/>
      <c r="I28" s="19"/>
      <c r="J28" s="19"/>
      <c r="K28" s="19"/>
      <c r="L28" s="19"/>
    </row>
    <row r="29" spans="1:12" s="22" customFormat="1" ht="12.75">
      <c r="A29" s="20"/>
      <c r="B29" s="21"/>
      <c r="C29" s="21">
        <f>C27/B27</f>
        <v>0.9145243730410244</v>
      </c>
      <c r="D29" s="21">
        <f>D27/B27</f>
        <v>0.08547562695897565</v>
      </c>
      <c r="H29" s="21">
        <f>H27/$D$27</f>
        <v>0.46707541789101714</v>
      </c>
      <c r="I29" s="21">
        <f>I27/$D$27</f>
        <v>0.3199999995961251</v>
      </c>
      <c r="J29" s="21">
        <f>J27/$D$27</f>
        <v>0.09463314884846037</v>
      </c>
      <c r="K29" s="21">
        <f>K27/$D$27</f>
        <v>0.10000000068775798</v>
      </c>
      <c r="L29" s="21">
        <f>L27/$D$27</f>
        <v>0.018291436049600616</v>
      </c>
    </row>
    <row r="31" spans="1:12" s="23" customFormat="1" ht="12.75">
      <c r="A31" s="74" t="s">
        <v>21</v>
      </c>
      <c r="B31" s="75"/>
      <c r="C31" s="75"/>
      <c r="D31" s="75"/>
      <c r="E31" s="75"/>
      <c r="F31" s="75"/>
      <c r="G31" s="75"/>
      <c r="H31" s="75"/>
      <c r="I31" s="75"/>
      <c r="J31" s="75"/>
      <c r="K31" s="75"/>
      <c r="L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2" s="46" customFormat="1" ht="6" customHeight="1">
      <c r="A35" s="42"/>
      <c r="B35" s="43"/>
      <c r="C35" s="44"/>
      <c r="D35" s="47"/>
      <c r="E35" s="44"/>
      <c r="F35" s="44"/>
      <c r="G35" s="44"/>
      <c r="H35" s="44"/>
      <c r="I35" s="43"/>
      <c r="J35" s="43"/>
      <c r="K35" s="43"/>
      <c r="L35" s="43"/>
    </row>
    <row r="36" spans="1:12" s="46" customFormat="1" ht="12.75">
      <c r="A36" s="42" t="s">
        <v>23</v>
      </c>
      <c r="B36" s="43"/>
      <c r="C36" s="44" t="s">
        <v>24</v>
      </c>
      <c r="D36" s="47"/>
      <c r="E36" s="44"/>
      <c r="F36" s="44"/>
      <c r="G36" s="44"/>
      <c r="H36" s="44"/>
      <c r="I36" s="43"/>
      <c r="J36" s="43"/>
      <c r="K36" s="43"/>
      <c r="L36" s="43"/>
    </row>
    <row r="37" spans="1:12" s="46" customFormat="1" ht="6" customHeight="1">
      <c r="A37" s="42"/>
      <c r="B37" s="43"/>
      <c r="C37" s="44"/>
      <c r="D37" s="47"/>
      <c r="E37" s="44"/>
      <c r="F37" s="44"/>
      <c r="G37" s="44"/>
      <c r="H37" s="44"/>
      <c r="I37" s="43"/>
      <c r="J37" s="43"/>
      <c r="K37" s="43"/>
      <c r="L37" s="43"/>
    </row>
    <row r="38" spans="1:12" s="46" customFormat="1" ht="12.75">
      <c r="A38" s="42" t="s">
        <v>25</v>
      </c>
      <c r="B38" s="43"/>
      <c r="C38" s="43" t="s">
        <v>58</v>
      </c>
      <c r="D38" s="47"/>
      <c r="E38" s="48"/>
      <c r="F38" s="43"/>
      <c r="G38" s="43"/>
      <c r="H38" s="43"/>
      <c r="I38" s="43"/>
      <c r="J38" s="43"/>
      <c r="K38" s="43"/>
      <c r="L38" s="43"/>
    </row>
    <row r="39" spans="1:12" s="46" customFormat="1" ht="12.75">
      <c r="A39" s="42"/>
      <c r="B39" s="43"/>
      <c r="C39" s="43" t="s">
        <v>59</v>
      </c>
      <c r="D39" s="47"/>
      <c r="E39" s="48"/>
      <c r="F39" s="43"/>
      <c r="G39" s="43"/>
      <c r="H39" s="43"/>
      <c r="I39" s="43"/>
      <c r="J39" s="43"/>
      <c r="K39" s="43"/>
      <c r="L39" s="43"/>
    </row>
    <row r="40" spans="1:12" s="46" customFormat="1" ht="6" customHeight="1">
      <c r="A40" s="42"/>
      <c r="B40" s="43"/>
      <c r="C40" s="43"/>
      <c r="D40" s="47"/>
      <c r="E40" s="48"/>
      <c r="F40" s="43"/>
      <c r="G40" s="43"/>
      <c r="H40" s="43"/>
      <c r="I40" s="43"/>
      <c r="J40" s="43"/>
      <c r="K40" s="43"/>
      <c r="L40" s="43"/>
    </row>
    <row r="41" spans="1:12" s="46" customFormat="1" ht="12.75">
      <c r="A41" s="42" t="s">
        <v>28</v>
      </c>
      <c r="B41" s="43"/>
      <c r="C41" s="43" t="s">
        <v>29</v>
      </c>
      <c r="D41" s="47"/>
      <c r="E41" s="48"/>
      <c r="F41" s="43"/>
      <c r="G41" s="43"/>
      <c r="H41" s="43"/>
      <c r="I41" s="43"/>
      <c r="J41" s="43"/>
      <c r="K41" s="43"/>
      <c r="L41" s="43"/>
    </row>
    <row r="42" spans="1:12" s="46" customFormat="1" ht="6" customHeight="1">
      <c r="A42" s="42"/>
      <c r="B42" s="43"/>
      <c r="C42" s="43"/>
      <c r="D42" s="47"/>
      <c r="E42" s="48"/>
      <c r="F42" s="43"/>
      <c r="G42" s="43"/>
      <c r="H42" s="43"/>
      <c r="I42" s="43"/>
      <c r="J42" s="43"/>
      <c r="K42" s="43"/>
      <c r="L42" s="43"/>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2" s="46" customFormat="1" ht="6" customHeight="1">
      <c r="A46" s="42"/>
      <c r="B46" s="43"/>
      <c r="C46" s="43"/>
      <c r="D46" s="47"/>
      <c r="E46" s="48"/>
      <c r="F46" s="43"/>
      <c r="G46" s="43"/>
      <c r="H46" s="43"/>
      <c r="I46" s="43"/>
      <c r="J46" s="43"/>
      <c r="K46" s="43"/>
      <c r="L46" s="43"/>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2" s="46" customFormat="1" ht="6" customHeight="1">
      <c r="A49" s="42"/>
      <c r="B49" s="43"/>
      <c r="C49" s="43"/>
      <c r="D49" s="47"/>
      <c r="E49" s="48"/>
      <c r="F49" s="43"/>
      <c r="G49" s="43"/>
      <c r="H49" s="43"/>
      <c r="I49" s="43"/>
      <c r="J49" s="43"/>
      <c r="K49" s="43"/>
      <c r="L49" s="43"/>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2" s="46" customFormat="1" ht="6" customHeight="1">
      <c r="A52" s="50"/>
      <c r="B52" s="51"/>
      <c r="C52" s="51"/>
      <c r="D52" s="51"/>
      <c r="E52" s="52"/>
      <c r="F52" s="51"/>
      <c r="G52" s="51"/>
      <c r="H52" s="51"/>
      <c r="I52" s="51"/>
      <c r="J52" s="51"/>
      <c r="K52" s="51"/>
      <c r="L52" s="51"/>
    </row>
    <row r="53" spans="1:12" s="46" customFormat="1" ht="12.75">
      <c r="A53" s="42" t="s">
        <v>47</v>
      </c>
      <c r="B53" s="43"/>
      <c r="C53" s="43" t="s">
        <v>60</v>
      </c>
      <c r="D53" s="47"/>
      <c r="E53" s="48"/>
      <c r="F53" s="43"/>
      <c r="G53" s="43"/>
      <c r="H53" s="43"/>
      <c r="I53" s="43"/>
      <c r="J53" s="43"/>
      <c r="K53" s="43"/>
      <c r="L53" s="47"/>
    </row>
    <row r="54" spans="1:12" s="46" customFormat="1" ht="12.75">
      <c r="A54" s="49"/>
      <c r="B54" s="43"/>
      <c r="C54" s="43" t="s">
        <v>61</v>
      </c>
      <c r="D54" s="47"/>
      <c r="E54" s="48"/>
      <c r="F54" s="43"/>
      <c r="G54" s="43"/>
      <c r="H54" s="43"/>
      <c r="I54" s="43"/>
      <c r="J54" s="43"/>
      <c r="K54" s="43"/>
      <c r="L54" s="47"/>
    </row>
    <row r="55" spans="1:12" s="46" customFormat="1" ht="12.75">
      <c r="A55" s="49"/>
      <c r="B55" s="43"/>
      <c r="C55" s="43" t="s">
        <v>62</v>
      </c>
      <c r="D55" s="47"/>
      <c r="E55" s="48"/>
      <c r="F55" s="43"/>
      <c r="G55" s="43"/>
      <c r="H55" s="43"/>
      <c r="I55" s="43"/>
      <c r="J55" s="43"/>
      <c r="K55" s="43"/>
      <c r="L55" s="47"/>
    </row>
    <row r="56" spans="1:12" ht="12.75">
      <c r="A56" s="29"/>
      <c r="B56" s="30"/>
      <c r="C56" s="26"/>
      <c r="D56" s="30"/>
      <c r="E56" s="31"/>
      <c r="F56" s="30"/>
      <c r="G56" s="30"/>
      <c r="H56" s="30"/>
      <c r="I56" s="30"/>
      <c r="J56" s="30"/>
      <c r="K56" s="30"/>
      <c r="L56" s="30"/>
    </row>
    <row r="57" spans="1:12" s="23" customFormat="1" ht="12.75">
      <c r="A57" s="74" t="s">
        <v>31</v>
      </c>
      <c r="B57" s="75"/>
      <c r="C57" s="75"/>
      <c r="D57" s="75"/>
      <c r="E57" s="75"/>
      <c r="F57" s="75"/>
      <c r="G57" s="75"/>
      <c r="H57" s="75"/>
      <c r="I57" s="75"/>
      <c r="J57" s="75"/>
      <c r="K57" s="75"/>
      <c r="L57" s="81"/>
    </row>
    <row r="58" ht="12.75">
      <c r="A58" s="24"/>
    </row>
    <row r="59" spans="1:12" ht="13.5">
      <c r="A59" s="32"/>
      <c r="F59" s="10" t="s">
        <v>9</v>
      </c>
      <c r="G59" s="33"/>
      <c r="H59" s="10" t="s">
        <v>83</v>
      </c>
      <c r="I59" s="10" t="s">
        <v>10</v>
      </c>
      <c r="J59" s="54" t="s">
        <v>84</v>
      </c>
      <c r="K59" s="10" t="s">
        <v>45</v>
      </c>
      <c r="L59" s="34"/>
    </row>
    <row r="60" spans="1:12" ht="12.75">
      <c r="A60" s="35"/>
      <c r="F60" s="8" t="s">
        <v>17</v>
      </c>
      <c r="G60" s="36"/>
      <c r="H60" s="8" t="s">
        <v>18</v>
      </c>
      <c r="I60" s="8" t="s">
        <v>19</v>
      </c>
      <c r="J60" s="55" t="s">
        <v>85</v>
      </c>
      <c r="K60" s="8" t="s">
        <v>46</v>
      </c>
      <c r="L60" s="34"/>
    </row>
    <row r="61" spans="2:12" ht="12.75">
      <c r="B61" s="39" t="s">
        <v>55</v>
      </c>
      <c r="C61" s="39"/>
      <c r="D61" s="26"/>
      <c r="E61" s="27"/>
      <c r="F61" s="40">
        <v>0.44</v>
      </c>
      <c r="G61" s="26"/>
      <c r="H61" s="40">
        <v>0.32</v>
      </c>
      <c r="I61" s="40">
        <v>0.1</v>
      </c>
      <c r="J61" s="40">
        <v>0.1</v>
      </c>
      <c r="K61" s="40">
        <v>0.04</v>
      </c>
      <c r="L61" s="38"/>
    </row>
    <row r="62" spans="2:12" ht="12.75">
      <c r="B62" s="39" t="s">
        <v>56</v>
      </c>
      <c r="C62" s="39"/>
      <c r="D62" s="26"/>
      <c r="E62" s="27"/>
      <c r="F62" s="40">
        <v>0.48</v>
      </c>
      <c r="G62" s="26"/>
      <c r="H62" s="40">
        <v>0.32</v>
      </c>
      <c r="I62" s="40">
        <v>0.1</v>
      </c>
      <c r="J62" s="40">
        <v>0.1</v>
      </c>
      <c r="K62" s="40">
        <v>0</v>
      </c>
      <c r="L62" s="38"/>
    </row>
    <row r="63" spans="2:12" ht="12.75">
      <c r="B63" s="39" t="s">
        <v>53</v>
      </c>
      <c r="C63" s="39"/>
      <c r="D63" s="26"/>
      <c r="E63" s="27"/>
      <c r="F63" s="40">
        <v>0.5</v>
      </c>
      <c r="G63" s="26"/>
      <c r="H63" s="40">
        <v>0.32</v>
      </c>
      <c r="I63" s="40">
        <v>0.08</v>
      </c>
      <c r="J63" s="40">
        <v>0.1</v>
      </c>
      <c r="K63" s="40">
        <v>0</v>
      </c>
      <c r="L63" s="38"/>
    </row>
    <row r="64" ht="12.75">
      <c r="A64" s="24"/>
    </row>
    <row r="65" spans="1:12" s="23" customFormat="1" ht="12.75">
      <c r="A65" s="77" t="s">
        <v>41</v>
      </c>
      <c r="B65" s="78"/>
      <c r="C65" s="78"/>
      <c r="D65" s="78"/>
      <c r="E65" s="78"/>
      <c r="F65" s="78"/>
      <c r="G65" s="78"/>
      <c r="H65" s="78"/>
      <c r="I65" s="78"/>
      <c r="J65" s="78"/>
      <c r="K65" s="78"/>
      <c r="L65" s="82"/>
    </row>
    <row r="66" spans="1:5" ht="12.75">
      <c r="A66" s="24"/>
      <c r="D66"/>
      <c r="E66" s="16"/>
    </row>
    <row r="67" spans="1:12" ht="51.75" customHeight="1">
      <c r="A67" s="80" t="s">
        <v>57</v>
      </c>
      <c r="B67" s="80"/>
      <c r="C67" s="80"/>
      <c r="D67" s="80"/>
      <c r="E67" s="80"/>
      <c r="F67" s="80"/>
      <c r="G67" s="80"/>
      <c r="H67" s="80"/>
      <c r="I67" s="80"/>
      <c r="J67" s="80"/>
      <c r="K67" s="80"/>
      <c r="L67" s="80"/>
    </row>
    <row r="68" spans="1:5" ht="12.75">
      <c r="A68" s="16"/>
      <c r="D68"/>
      <c r="E68" s="16"/>
    </row>
    <row r="69" spans="2:4" ht="12.75">
      <c r="B69" s="24" t="s">
        <v>42</v>
      </c>
      <c r="C69" s="24"/>
      <c r="D69" s="16">
        <v>0</v>
      </c>
    </row>
    <row r="70" spans="2:4" ht="12.75">
      <c r="B70" s="24" t="s">
        <v>43</v>
      </c>
      <c r="C70" s="24"/>
      <c r="D70" s="16">
        <v>0</v>
      </c>
    </row>
    <row r="71" spans="2:4" ht="12.75">
      <c r="B71" s="16" t="s">
        <v>32</v>
      </c>
      <c r="C71" s="16" t="s">
        <v>32</v>
      </c>
      <c r="D71" s="16" t="s">
        <v>32</v>
      </c>
    </row>
    <row r="72" ht="12.75">
      <c r="D72" s="16" t="s">
        <v>32</v>
      </c>
    </row>
    <row r="73" ht="12.75">
      <c r="A73" s="24" t="s">
        <v>34</v>
      </c>
    </row>
  </sheetData>
  <sheetProtection/>
  <mergeCells count="11">
    <mergeCell ref="A31:L31"/>
    <mergeCell ref="A57:L57"/>
    <mergeCell ref="A67:L67"/>
    <mergeCell ref="H10:L10"/>
    <mergeCell ref="A8:L8"/>
    <mergeCell ref="A1:L1"/>
    <mergeCell ref="A5:L5"/>
    <mergeCell ref="A4:L4"/>
    <mergeCell ref="A3:L3"/>
    <mergeCell ref="A2:L2"/>
    <mergeCell ref="A65:L65"/>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7"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3.7109375" style="16" customWidth="1"/>
    <col min="12" max="12" width="13.8515625" style="16" customWidth="1"/>
    <col min="13" max="13" width="12.7109375" style="0" customWidth="1"/>
  </cols>
  <sheetData>
    <row r="1" spans="1:12" ht="18">
      <c r="A1" s="70" t="s">
        <v>0</v>
      </c>
      <c r="B1" s="70"/>
      <c r="C1" s="70"/>
      <c r="D1" s="70"/>
      <c r="E1" s="70"/>
      <c r="F1" s="70"/>
      <c r="G1" s="70"/>
      <c r="H1" s="70"/>
      <c r="I1" s="70"/>
      <c r="J1" s="70"/>
      <c r="K1" s="70"/>
      <c r="L1" s="70"/>
    </row>
    <row r="2" spans="1:12" ht="15">
      <c r="A2" s="71" t="s">
        <v>1</v>
      </c>
      <c r="B2" s="71"/>
      <c r="C2" s="71"/>
      <c r="D2" s="71"/>
      <c r="E2" s="71"/>
      <c r="F2" s="71"/>
      <c r="G2" s="71"/>
      <c r="H2" s="71"/>
      <c r="I2" s="71"/>
      <c r="J2" s="71"/>
      <c r="K2" s="71"/>
      <c r="L2" s="71"/>
    </row>
    <row r="3" spans="1:12" s="1" customFormat="1" ht="15">
      <c r="A3" s="71" t="s">
        <v>2</v>
      </c>
      <c r="B3" s="71"/>
      <c r="C3" s="71"/>
      <c r="D3" s="71"/>
      <c r="E3" s="71"/>
      <c r="F3" s="71"/>
      <c r="G3" s="71"/>
      <c r="H3" s="71"/>
      <c r="I3" s="71"/>
      <c r="J3" s="71"/>
      <c r="K3" s="71"/>
      <c r="L3" s="71"/>
    </row>
    <row r="4" spans="1:12" s="1" customFormat="1" ht="14.25">
      <c r="A4" s="83" t="s">
        <v>3</v>
      </c>
      <c r="B4" s="83"/>
      <c r="C4" s="83"/>
      <c r="D4" s="83"/>
      <c r="E4" s="83"/>
      <c r="F4" s="83"/>
      <c r="G4" s="83"/>
      <c r="H4" s="83"/>
      <c r="I4" s="83"/>
      <c r="J4" s="83"/>
      <c r="K4" s="83"/>
      <c r="L4" s="83"/>
    </row>
    <row r="5" spans="1:12" s="1" customFormat="1" ht="14.25">
      <c r="A5" s="73" t="s">
        <v>4</v>
      </c>
      <c r="B5" s="73"/>
      <c r="C5" s="73"/>
      <c r="D5" s="73"/>
      <c r="E5" s="73"/>
      <c r="F5" s="73"/>
      <c r="G5" s="73"/>
      <c r="H5" s="73"/>
      <c r="I5" s="73"/>
      <c r="J5" s="73"/>
      <c r="K5" s="73"/>
      <c r="L5" s="73"/>
    </row>
    <row r="6" spans="1:12" s="1" customFormat="1" ht="14.25">
      <c r="A6" s="2"/>
      <c r="B6" s="2"/>
      <c r="C6" s="2"/>
      <c r="D6" s="2"/>
      <c r="E6" s="2"/>
      <c r="F6" s="2"/>
      <c r="G6" s="2"/>
      <c r="H6" s="2"/>
      <c r="I6" s="2"/>
      <c r="J6" s="2"/>
      <c r="K6" s="2"/>
      <c r="L6" s="2"/>
    </row>
    <row r="7" spans="1:12" s="1" customFormat="1" ht="12.75">
      <c r="A7" s="3"/>
      <c r="B7" s="4"/>
      <c r="C7" s="4"/>
      <c r="D7" s="5"/>
      <c r="E7" s="6"/>
      <c r="F7" s="5"/>
      <c r="G7" s="5"/>
      <c r="H7" s="5"/>
      <c r="I7" s="5"/>
      <c r="J7" s="5"/>
      <c r="K7" s="5"/>
      <c r="L7" s="5"/>
    </row>
    <row r="8" spans="1:12" s="7" customFormat="1" ht="14.25" customHeight="1">
      <c r="A8" s="74" t="s">
        <v>65</v>
      </c>
      <c r="B8" s="75"/>
      <c r="C8" s="75"/>
      <c r="D8" s="75"/>
      <c r="E8" s="75"/>
      <c r="F8" s="75"/>
      <c r="G8" s="75"/>
      <c r="H8" s="75"/>
      <c r="I8" s="75"/>
      <c r="J8" s="75"/>
      <c r="K8" s="75"/>
      <c r="L8" s="81"/>
    </row>
    <row r="9" spans="1:12" s="1" customFormat="1" ht="9" customHeight="1">
      <c r="A9" s="3"/>
      <c r="B9" s="4"/>
      <c r="C9" s="4"/>
      <c r="D9" s="5"/>
      <c r="E9" s="6"/>
      <c r="F9" s="5"/>
      <c r="G9" s="5"/>
      <c r="H9" s="5"/>
      <c r="I9" s="5"/>
      <c r="J9" s="5"/>
      <c r="K9" s="5"/>
      <c r="L9" s="5"/>
    </row>
    <row r="10" spans="1:12" s="1" customFormat="1" ht="12.75">
      <c r="A10" s="3"/>
      <c r="B10" s="5"/>
      <c r="C10" s="5"/>
      <c r="D10" s="5"/>
      <c r="E10" s="6"/>
      <c r="F10" s="5"/>
      <c r="G10" s="5"/>
      <c r="H10" s="76" t="s">
        <v>5</v>
      </c>
      <c r="I10" s="76"/>
      <c r="J10" s="76"/>
      <c r="K10" s="76"/>
      <c r="L10" s="76"/>
    </row>
    <row r="11" spans="1:12" s="1" customFormat="1" ht="7.5" customHeight="1">
      <c r="A11" s="3"/>
      <c r="B11" s="5"/>
      <c r="C11" s="5"/>
      <c r="D11" s="5"/>
      <c r="E11" s="6"/>
      <c r="F11" s="5"/>
      <c r="G11" s="5"/>
      <c r="H11" s="5"/>
      <c r="I11" s="5"/>
      <c r="J11" s="5"/>
      <c r="K11" s="5"/>
      <c r="L11" s="5"/>
    </row>
    <row r="12" spans="1:12" s="12" customFormat="1" ht="12">
      <c r="A12" s="9"/>
      <c r="B12" s="10" t="s">
        <v>6</v>
      </c>
      <c r="C12" s="10" t="s">
        <v>6</v>
      </c>
      <c r="D12" s="10"/>
      <c r="E12" s="11" t="s">
        <v>7</v>
      </c>
      <c r="F12" s="10" t="s">
        <v>8</v>
      </c>
      <c r="G12" s="10"/>
      <c r="H12" s="10" t="s">
        <v>9</v>
      </c>
      <c r="I12" s="10" t="s">
        <v>83</v>
      </c>
      <c r="J12" s="10" t="s">
        <v>10</v>
      </c>
      <c r="K12" s="10" t="s">
        <v>84</v>
      </c>
      <c r="L12" s="10" t="s">
        <v>45</v>
      </c>
    </row>
    <row r="13" spans="1:12" s="12" customFormat="1" ht="12">
      <c r="A13" s="13" t="s">
        <v>11</v>
      </c>
      <c r="B13" s="8" t="s">
        <v>12</v>
      </c>
      <c r="C13" s="8" t="s">
        <v>13</v>
      </c>
      <c r="D13" s="8" t="s">
        <v>14</v>
      </c>
      <c r="E13" s="14" t="s">
        <v>15</v>
      </c>
      <c r="F13" s="8" t="s">
        <v>16</v>
      </c>
      <c r="G13" s="15"/>
      <c r="H13" s="8" t="s">
        <v>17</v>
      </c>
      <c r="I13" s="8" t="s">
        <v>18</v>
      </c>
      <c r="J13" s="8" t="s">
        <v>19</v>
      </c>
      <c r="K13" s="8" t="s">
        <v>85</v>
      </c>
      <c r="L13" s="8" t="s">
        <v>46</v>
      </c>
    </row>
    <row r="15" spans="1:12" ht="12.75">
      <c r="A15" s="3">
        <v>39539</v>
      </c>
      <c r="B15" s="16">
        <v>133253274.12</v>
      </c>
      <c r="C15" s="16">
        <f aca="true" t="shared" si="0" ref="C15:C26">B15-D15</f>
        <v>122251687.72</v>
      </c>
      <c r="D15" s="16">
        <v>11001586.4</v>
      </c>
      <c r="E15" s="17">
        <f>53100/30</f>
        <v>1770</v>
      </c>
      <c r="F15" s="16">
        <f>D15/E15/30</f>
        <v>207.18618455743882</v>
      </c>
      <c r="H15" s="16">
        <v>4840698.05</v>
      </c>
      <c r="I15" s="16">
        <v>3520507.63</v>
      </c>
      <c r="J15" s="16">
        <v>1100158.67</v>
      </c>
      <c r="K15" s="16">
        <v>1100158.67</v>
      </c>
      <c r="L15" s="16">
        <v>440063.47</v>
      </c>
    </row>
    <row r="16" spans="1:12" ht="12.75">
      <c r="A16" s="3">
        <v>39569</v>
      </c>
      <c r="B16" s="16">
        <v>149297345.78</v>
      </c>
      <c r="C16" s="16">
        <f t="shared" si="0"/>
        <v>136874983.95</v>
      </c>
      <c r="D16" s="16">
        <v>12422361.83</v>
      </c>
      <c r="E16" s="17">
        <f>54870/31</f>
        <v>1770</v>
      </c>
      <c r="F16" s="16">
        <f>D16/E16/31</f>
        <v>226.3962425733552</v>
      </c>
      <c r="H16" s="16">
        <v>5465839.2</v>
      </c>
      <c r="I16" s="16">
        <v>3975155.79</v>
      </c>
      <c r="J16" s="16">
        <v>1242236.2</v>
      </c>
      <c r="K16" s="16">
        <v>1242236.2</v>
      </c>
      <c r="L16" s="16">
        <v>496894.48</v>
      </c>
    </row>
    <row r="17" spans="1:12" ht="12.75">
      <c r="A17" s="3">
        <v>39600</v>
      </c>
      <c r="B17" s="16">
        <v>136952717.51</v>
      </c>
      <c r="C17" s="16">
        <f t="shared" si="0"/>
        <v>125574900.28999999</v>
      </c>
      <c r="D17" s="16">
        <v>11377817.22</v>
      </c>
      <c r="E17" s="17">
        <f>53100/30</f>
        <v>1770</v>
      </c>
      <c r="F17" s="16">
        <f>D17/E17/30</f>
        <v>214.2715107344633</v>
      </c>
      <c r="H17" s="16">
        <v>5006239.63</v>
      </c>
      <c r="I17" s="16">
        <v>3640901.52</v>
      </c>
      <c r="J17" s="16">
        <v>1137781.76</v>
      </c>
      <c r="K17" s="16">
        <v>1137781.76</v>
      </c>
      <c r="L17" s="16">
        <v>455112.66</v>
      </c>
    </row>
    <row r="18" spans="1:12" ht="12.75">
      <c r="A18" s="3">
        <v>39630</v>
      </c>
      <c r="B18" s="16">
        <v>154694527.57</v>
      </c>
      <c r="C18" s="16">
        <f t="shared" si="0"/>
        <v>142096734.32</v>
      </c>
      <c r="D18" s="16">
        <v>12597793.25</v>
      </c>
      <c r="E18" s="17">
        <f>54870/31</f>
        <v>1770</v>
      </c>
      <c r="F18" s="16">
        <f>D18/E18/31</f>
        <v>229.59346181884456</v>
      </c>
      <c r="H18" s="16">
        <v>5543029.05</v>
      </c>
      <c r="I18" s="16">
        <v>4031293.86</v>
      </c>
      <c r="J18" s="16">
        <v>1259779.34</v>
      </c>
      <c r="K18" s="16">
        <v>1259779.34</v>
      </c>
      <c r="L18" s="16">
        <v>503911.72</v>
      </c>
    </row>
    <row r="19" spans="1:12" ht="12.75">
      <c r="A19" s="3">
        <v>39661</v>
      </c>
      <c r="B19" s="16">
        <v>172355336.4</v>
      </c>
      <c r="C19" s="16">
        <f t="shared" si="0"/>
        <v>158295217.34</v>
      </c>
      <c r="D19" s="16">
        <v>14060119.06</v>
      </c>
      <c r="E19" s="17">
        <f>54850/31</f>
        <v>1769.3548387096773</v>
      </c>
      <c r="F19" s="16">
        <f>D19/E19/31</f>
        <v>256.337630993619</v>
      </c>
      <c r="H19" s="16">
        <v>6186452.43</v>
      </c>
      <c r="I19" s="16">
        <v>4499238.11</v>
      </c>
      <c r="J19" s="16">
        <v>1406011.93</v>
      </c>
      <c r="K19" s="16">
        <v>1406011.93</v>
      </c>
      <c r="L19" s="16">
        <v>562404.76</v>
      </c>
    </row>
    <row r="20" spans="1:12" ht="12.75">
      <c r="A20" s="3">
        <v>39692</v>
      </c>
      <c r="B20" s="16">
        <v>133630063.63</v>
      </c>
      <c r="C20" s="16">
        <f t="shared" si="0"/>
        <v>122417793.19999999</v>
      </c>
      <c r="D20" s="16">
        <v>11212270.43</v>
      </c>
      <c r="E20" s="17">
        <f>53100/30</f>
        <v>1770</v>
      </c>
      <c r="F20" s="16">
        <f>D20/E20/30</f>
        <v>211.15386873822976</v>
      </c>
      <c r="H20" s="16">
        <v>5340276.9</v>
      </c>
      <c r="I20" s="16">
        <v>3587926.52</v>
      </c>
      <c r="J20" s="16">
        <v>1121227.05</v>
      </c>
      <c r="K20" s="16">
        <v>1121227.05</v>
      </c>
      <c r="L20" s="16">
        <v>41612.91</v>
      </c>
    </row>
    <row r="21" spans="1:12" ht="12.75">
      <c r="A21" s="3">
        <v>39722</v>
      </c>
      <c r="B21" s="16">
        <v>130160037.94</v>
      </c>
      <c r="C21" s="16">
        <f t="shared" si="0"/>
        <v>119106475.75</v>
      </c>
      <c r="D21" s="16">
        <v>11053562.19</v>
      </c>
      <c r="E21" s="17">
        <f>54870/31</f>
        <v>1770</v>
      </c>
      <c r="F21" s="16">
        <f>D21/E21/31</f>
        <v>201.45001257517768</v>
      </c>
      <c r="H21" s="16">
        <v>5305709.84</v>
      </c>
      <c r="I21" s="16">
        <v>3537139.9</v>
      </c>
      <c r="J21" s="16">
        <v>1105356.23</v>
      </c>
      <c r="K21" s="16">
        <v>1105356.23</v>
      </c>
      <c r="L21" s="16">
        <v>0</v>
      </c>
    </row>
    <row r="22" spans="1:12" ht="12.75">
      <c r="A22" s="3">
        <v>39753</v>
      </c>
      <c r="B22" s="16">
        <v>125639004.2</v>
      </c>
      <c r="C22" s="16">
        <f t="shared" si="0"/>
        <v>114996074.32000001</v>
      </c>
      <c r="D22" s="16">
        <v>10642929.88</v>
      </c>
      <c r="E22" s="17">
        <f>53100/30</f>
        <v>1770</v>
      </c>
      <c r="F22" s="16">
        <f>D22/E22/30</f>
        <v>200.43182448210925</v>
      </c>
      <c r="H22" s="16">
        <v>5108606.35</v>
      </c>
      <c r="I22" s="16">
        <v>3405737.58</v>
      </c>
      <c r="J22" s="16">
        <v>1064292.99</v>
      </c>
      <c r="K22" s="16">
        <v>1064292.99</v>
      </c>
      <c r="L22" s="16">
        <v>0</v>
      </c>
    </row>
    <row r="23" spans="1:12" ht="12.75">
      <c r="A23" s="3">
        <v>39783</v>
      </c>
      <c r="B23" s="16">
        <v>101574393.92</v>
      </c>
      <c r="C23" s="16">
        <f t="shared" si="0"/>
        <v>93051439.74000001</v>
      </c>
      <c r="D23" s="16">
        <v>8522954.18</v>
      </c>
      <c r="E23" s="17">
        <f>54870/31</f>
        <v>1770</v>
      </c>
      <c r="F23" s="16">
        <f>D23/E23/31</f>
        <v>155.32994678330599</v>
      </c>
      <c r="H23" s="16">
        <v>4148845.92</v>
      </c>
      <c r="I23" s="16">
        <v>2727345.32</v>
      </c>
      <c r="J23" s="16">
        <v>794467.53</v>
      </c>
      <c r="K23" s="16">
        <v>852295.42</v>
      </c>
      <c r="L23" s="16">
        <v>0</v>
      </c>
    </row>
    <row r="24" spans="1:12" ht="12.75">
      <c r="A24" s="3">
        <v>39814</v>
      </c>
      <c r="B24" s="16">
        <v>123782490.06</v>
      </c>
      <c r="C24" s="16">
        <f t="shared" si="0"/>
        <v>113527457.79</v>
      </c>
      <c r="D24" s="16">
        <v>10255032.27</v>
      </c>
      <c r="E24" s="17">
        <f>54870/31</f>
        <v>1770</v>
      </c>
      <c r="F24" s="16">
        <f>D24/E24/31</f>
        <v>186.89688846364132</v>
      </c>
      <c r="H24" s="16">
        <v>5127516.22</v>
      </c>
      <c r="I24" s="16">
        <v>3281610.34</v>
      </c>
      <c r="J24" s="16">
        <v>820402.59</v>
      </c>
      <c r="K24" s="16">
        <v>1025503.28</v>
      </c>
      <c r="L24" s="16">
        <v>0</v>
      </c>
    </row>
    <row r="25" spans="1:12" ht="12.75">
      <c r="A25" s="3">
        <v>39845</v>
      </c>
      <c r="B25" s="16">
        <v>126922403.6</v>
      </c>
      <c r="C25" s="16">
        <f t="shared" si="0"/>
        <v>116405946.91999999</v>
      </c>
      <c r="D25" s="16">
        <v>10516456.68</v>
      </c>
      <c r="E25" s="17">
        <f>49560/28</f>
        <v>1770</v>
      </c>
      <c r="F25" s="16">
        <f>D25/E25/28</f>
        <v>212.19646246973366</v>
      </c>
      <c r="H25" s="16">
        <v>5258228.39</v>
      </c>
      <c r="I25" s="16">
        <v>3365266.12</v>
      </c>
      <c r="J25" s="16">
        <v>841316.56</v>
      </c>
      <c r="K25" s="16">
        <v>1051645.68</v>
      </c>
      <c r="L25" s="16">
        <v>0</v>
      </c>
    </row>
    <row r="26" spans="1:12" ht="12.75">
      <c r="A26" s="3">
        <v>39873</v>
      </c>
      <c r="B26" s="16">
        <v>139004957.08</v>
      </c>
      <c r="C26" s="16">
        <f t="shared" si="0"/>
        <v>127332024.48000002</v>
      </c>
      <c r="D26" s="16">
        <v>11672932.6</v>
      </c>
      <c r="E26" s="17">
        <f>54870/31</f>
        <v>1770</v>
      </c>
      <c r="F26" s="16">
        <f>D26/E26/31</f>
        <v>212.737973391653</v>
      </c>
      <c r="H26" s="16">
        <v>5836466.36</v>
      </c>
      <c r="I26" s="16">
        <v>3735338.45</v>
      </c>
      <c r="J26" s="16">
        <v>933834.6</v>
      </c>
      <c r="K26" s="16">
        <v>1167293.29</v>
      </c>
      <c r="L26" s="16">
        <v>0</v>
      </c>
    </row>
    <row r="27" spans="1:12" ht="13.5" thickBot="1">
      <c r="A27" s="3" t="s">
        <v>20</v>
      </c>
      <c r="B27" s="18">
        <f>SUM(B15:B26)</f>
        <v>1627266551.81</v>
      </c>
      <c r="C27" s="18">
        <f>SUM(C15:C26)</f>
        <v>1491930735.8200002</v>
      </c>
      <c r="D27" s="18">
        <f>SUM(D15:D26)</f>
        <v>135335815.98999998</v>
      </c>
      <c r="H27" s="18">
        <f>SUM(H15:H26)</f>
        <v>63167908.339999996</v>
      </c>
      <c r="I27" s="18">
        <f>SUM(I15:I26)</f>
        <v>43307461.13999999</v>
      </c>
      <c r="J27" s="18">
        <f>SUM(J15:J26)</f>
        <v>12826865.45</v>
      </c>
      <c r="K27" s="18">
        <f>SUM(K15:K26)</f>
        <v>13533581.84</v>
      </c>
      <c r="L27" s="18">
        <f>SUM(L15:L26)</f>
        <v>2500000</v>
      </c>
    </row>
    <row r="28" spans="2:12" ht="10.5" customHeight="1" thickTop="1">
      <c r="B28" s="19"/>
      <c r="C28" s="19"/>
      <c r="D28" s="19"/>
      <c r="H28" s="19"/>
      <c r="I28" s="19"/>
      <c r="J28" s="19"/>
      <c r="K28" s="19"/>
      <c r="L28" s="19"/>
    </row>
    <row r="29" spans="1:12" s="22" customFormat="1" ht="12.75">
      <c r="A29" s="20"/>
      <c r="B29" s="21"/>
      <c r="C29" s="21">
        <f>C27/B27</f>
        <v>0.9168324231580459</v>
      </c>
      <c r="D29" s="21">
        <f>D27/B27</f>
        <v>0.08316757684195418</v>
      </c>
      <c r="H29" s="21">
        <f>H27/$D$27</f>
        <v>0.46674938099658336</v>
      </c>
      <c r="I29" s="21">
        <f>I27/$D$27</f>
        <v>0.32000000017142544</v>
      </c>
      <c r="J29" s="21">
        <f>J27/$D$27</f>
        <v>0.09477805528543738</v>
      </c>
      <c r="K29" s="21">
        <f>K27/$D$27</f>
        <v>0.10000000178075552</v>
      </c>
      <c r="L29" s="21">
        <f>L27/$D$27</f>
        <v>0.01847256752923946</v>
      </c>
    </row>
    <row r="31" spans="1:12" s="23" customFormat="1" ht="12.75">
      <c r="A31" s="74" t="s">
        <v>21</v>
      </c>
      <c r="B31" s="75"/>
      <c r="C31" s="75"/>
      <c r="D31" s="75"/>
      <c r="E31" s="75"/>
      <c r="F31" s="75"/>
      <c r="G31" s="75"/>
      <c r="H31" s="75"/>
      <c r="I31" s="75"/>
      <c r="J31" s="75"/>
      <c r="K31" s="75"/>
      <c r="L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2" ht="6" customHeight="1">
      <c r="A35" s="25"/>
      <c r="B35" s="26"/>
      <c r="C35" s="26"/>
      <c r="E35" s="26"/>
      <c r="F35" s="26"/>
      <c r="G35" s="26"/>
      <c r="H35" s="26"/>
      <c r="I35" s="26"/>
      <c r="J35" s="26"/>
      <c r="K35" s="26"/>
      <c r="L35" s="26"/>
    </row>
    <row r="36" spans="1:12" ht="12.75">
      <c r="A36" s="25" t="s">
        <v>23</v>
      </c>
      <c r="B36" s="26"/>
      <c r="C36" s="26" t="s">
        <v>24</v>
      </c>
      <c r="E36" s="26"/>
      <c r="F36" s="26"/>
      <c r="G36" s="26"/>
      <c r="H36" s="26"/>
      <c r="I36" s="26"/>
      <c r="J36" s="26"/>
      <c r="K36" s="26"/>
      <c r="L36" s="26"/>
    </row>
    <row r="37" spans="1:12" ht="6" customHeight="1">
      <c r="A37" s="25"/>
      <c r="B37" s="26"/>
      <c r="C37" s="26"/>
      <c r="E37" s="26"/>
      <c r="F37" s="26"/>
      <c r="G37" s="26"/>
      <c r="H37" s="26"/>
      <c r="I37" s="26"/>
      <c r="J37" s="26"/>
      <c r="K37" s="26"/>
      <c r="L37" s="26"/>
    </row>
    <row r="38" spans="1:12" ht="12.75">
      <c r="A38" s="25" t="s">
        <v>25</v>
      </c>
      <c r="B38" s="26"/>
      <c r="C38" s="26" t="s">
        <v>49</v>
      </c>
      <c r="E38" s="27"/>
      <c r="F38" s="26"/>
      <c r="G38" s="26"/>
      <c r="H38" s="26"/>
      <c r="I38" s="26"/>
      <c r="J38" s="26"/>
      <c r="K38" s="26"/>
      <c r="L38" s="26"/>
    </row>
    <row r="39" spans="1:12" ht="12.75">
      <c r="A39" s="25"/>
      <c r="B39" s="26"/>
      <c r="C39" s="26" t="s">
        <v>50</v>
      </c>
      <c r="E39" s="27"/>
      <c r="F39" s="26"/>
      <c r="G39" s="26"/>
      <c r="H39" s="26"/>
      <c r="I39" s="26"/>
      <c r="J39" s="26"/>
      <c r="K39" s="26"/>
      <c r="L39" s="26"/>
    </row>
    <row r="40" spans="1:12" ht="6" customHeight="1">
      <c r="A40" s="25"/>
      <c r="B40" s="26"/>
      <c r="C40" s="26"/>
      <c r="E40" s="27"/>
      <c r="F40" s="26"/>
      <c r="G40" s="26"/>
      <c r="H40" s="26"/>
      <c r="I40" s="26"/>
      <c r="J40" s="26"/>
      <c r="K40" s="26"/>
      <c r="L40" s="26"/>
    </row>
    <row r="41" spans="1:12" ht="12.75">
      <c r="A41" s="25" t="s">
        <v>28</v>
      </c>
      <c r="B41" s="26"/>
      <c r="C41" s="26" t="s">
        <v>29</v>
      </c>
      <c r="E41" s="27"/>
      <c r="F41" s="26"/>
      <c r="G41" s="26"/>
      <c r="H41" s="26"/>
      <c r="I41" s="26"/>
      <c r="J41" s="26"/>
      <c r="K41" s="26"/>
      <c r="L41" s="26"/>
    </row>
    <row r="42" spans="1:12" ht="6" customHeight="1">
      <c r="A42" s="25"/>
      <c r="B42" s="26"/>
      <c r="C42" s="26"/>
      <c r="E42" s="27"/>
      <c r="F42" s="26"/>
      <c r="G42" s="26"/>
      <c r="H42" s="26"/>
      <c r="I42" s="26"/>
      <c r="J42" s="26"/>
      <c r="K42" s="26"/>
      <c r="L42" s="26"/>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2" s="46" customFormat="1" ht="6.75" customHeight="1">
      <c r="A46" s="42"/>
      <c r="B46" s="43"/>
      <c r="C46" s="43"/>
      <c r="D46" s="47"/>
      <c r="E46" s="48"/>
      <c r="F46" s="43"/>
      <c r="G46" s="43"/>
      <c r="H46" s="43"/>
      <c r="I46" s="43"/>
      <c r="J46" s="43"/>
      <c r="K46" s="43"/>
      <c r="L46" s="43"/>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2" ht="6" customHeight="1">
      <c r="A49" s="25"/>
      <c r="B49" s="26"/>
      <c r="C49" s="26"/>
      <c r="E49" s="27"/>
      <c r="F49" s="26"/>
      <c r="G49" s="26"/>
      <c r="H49" s="26"/>
      <c r="I49" s="26"/>
      <c r="J49" s="26"/>
      <c r="K49" s="26"/>
      <c r="L49" s="26"/>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2" ht="6" customHeight="1">
      <c r="A52" s="28"/>
      <c r="B52" s="26"/>
      <c r="C52" s="26"/>
      <c r="E52" s="27"/>
      <c r="F52" s="26"/>
      <c r="G52" s="26"/>
      <c r="H52" s="26"/>
      <c r="I52" s="26"/>
      <c r="J52" s="26"/>
      <c r="K52" s="26"/>
      <c r="L52" s="26"/>
    </row>
    <row r="53" spans="1:11" ht="12.75">
      <c r="A53" s="25" t="s">
        <v>47</v>
      </c>
      <c r="B53" s="26"/>
      <c r="C53" s="26" t="s">
        <v>48</v>
      </c>
      <c r="E53" s="27"/>
      <c r="F53" s="26"/>
      <c r="G53" s="26"/>
      <c r="H53" s="26"/>
      <c r="I53" s="26"/>
      <c r="J53" s="26"/>
      <c r="K53" s="26"/>
    </row>
    <row r="54" spans="1:11" ht="12.75">
      <c r="A54" s="28"/>
      <c r="B54" s="26"/>
      <c r="C54" s="26" t="s">
        <v>51</v>
      </c>
      <c r="E54" s="27"/>
      <c r="F54" s="26"/>
      <c r="G54" s="26"/>
      <c r="H54" s="26"/>
      <c r="I54" s="26"/>
      <c r="J54" s="26"/>
      <c r="K54" s="26"/>
    </row>
    <row r="55" spans="1:12" ht="12.75">
      <c r="A55" s="29"/>
      <c r="B55" s="30"/>
      <c r="C55" s="26" t="s">
        <v>52</v>
      </c>
      <c r="D55" s="30"/>
      <c r="E55" s="31"/>
      <c r="F55" s="30"/>
      <c r="G55" s="30"/>
      <c r="H55" s="30"/>
      <c r="I55" s="30"/>
      <c r="J55" s="30"/>
      <c r="K55" s="30"/>
      <c r="L55" s="30"/>
    </row>
    <row r="56" spans="1:12" ht="12.75">
      <c r="A56" s="29"/>
      <c r="B56" s="30"/>
      <c r="C56" s="26"/>
      <c r="D56" s="30"/>
      <c r="E56" s="31"/>
      <c r="F56" s="30"/>
      <c r="G56" s="30"/>
      <c r="H56" s="30"/>
      <c r="I56" s="30"/>
      <c r="J56" s="30"/>
      <c r="K56" s="30"/>
      <c r="L56" s="30"/>
    </row>
    <row r="57" spans="1:12" s="23" customFormat="1" ht="12.75">
      <c r="A57" s="74" t="s">
        <v>31</v>
      </c>
      <c r="B57" s="75"/>
      <c r="C57" s="75"/>
      <c r="D57" s="75"/>
      <c r="E57" s="75"/>
      <c r="F57" s="75"/>
      <c r="G57" s="75"/>
      <c r="H57" s="75"/>
      <c r="I57" s="75"/>
      <c r="J57" s="75"/>
      <c r="K57" s="75"/>
      <c r="L57" s="81"/>
    </row>
    <row r="58" ht="12.75">
      <c r="A58" s="24"/>
    </row>
    <row r="59" spans="1:12" ht="13.5">
      <c r="A59" s="32"/>
      <c r="F59" s="10" t="s">
        <v>9</v>
      </c>
      <c r="G59" s="33"/>
      <c r="H59" s="10" t="s">
        <v>83</v>
      </c>
      <c r="I59" s="10" t="s">
        <v>10</v>
      </c>
      <c r="J59" s="54" t="s">
        <v>84</v>
      </c>
      <c r="K59" s="10" t="s">
        <v>45</v>
      </c>
      <c r="L59" s="34"/>
    </row>
    <row r="60" spans="1:12" ht="12.75">
      <c r="A60" s="35"/>
      <c r="F60" s="8" t="s">
        <v>17</v>
      </c>
      <c r="G60" s="36"/>
      <c r="H60" s="8" t="s">
        <v>18</v>
      </c>
      <c r="I60" s="8" t="s">
        <v>19</v>
      </c>
      <c r="J60" s="55" t="s">
        <v>85</v>
      </c>
      <c r="K60" s="8" t="s">
        <v>46</v>
      </c>
      <c r="L60" s="34"/>
    </row>
    <row r="61" spans="2:12" ht="12.75">
      <c r="B61" s="39" t="s">
        <v>55</v>
      </c>
      <c r="C61" s="39"/>
      <c r="D61" s="26"/>
      <c r="E61" s="27"/>
      <c r="F61" s="40">
        <v>0.44</v>
      </c>
      <c r="G61" s="26"/>
      <c r="H61" s="40">
        <v>0.32</v>
      </c>
      <c r="I61" s="40">
        <v>0.1</v>
      </c>
      <c r="J61" s="40">
        <v>0.1</v>
      </c>
      <c r="K61" s="40">
        <v>0.04</v>
      </c>
      <c r="L61" s="38"/>
    </row>
    <row r="62" spans="2:12" ht="12.75">
      <c r="B62" s="39" t="s">
        <v>56</v>
      </c>
      <c r="C62" s="39"/>
      <c r="D62" s="26"/>
      <c r="E62" s="27"/>
      <c r="F62" s="40">
        <v>0.48</v>
      </c>
      <c r="G62" s="26"/>
      <c r="H62" s="40">
        <v>0.32</v>
      </c>
      <c r="I62" s="40">
        <v>0.1</v>
      </c>
      <c r="J62" s="40">
        <v>0.1</v>
      </c>
      <c r="K62" s="40">
        <v>0</v>
      </c>
      <c r="L62" s="38"/>
    </row>
    <row r="63" spans="2:12" ht="12.75">
      <c r="B63" s="39" t="s">
        <v>53</v>
      </c>
      <c r="C63" s="39"/>
      <c r="D63" s="26"/>
      <c r="E63" s="27"/>
      <c r="F63" s="40">
        <v>0.5</v>
      </c>
      <c r="G63" s="26"/>
      <c r="H63" s="40">
        <v>0.32</v>
      </c>
      <c r="I63" s="40">
        <v>0.08</v>
      </c>
      <c r="J63" s="40">
        <v>0.1</v>
      </c>
      <c r="K63" s="40">
        <v>0</v>
      </c>
      <c r="L63" s="38"/>
    </row>
    <row r="64" ht="12.75">
      <c r="A64" s="24"/>
    </row>
    <row r="65" spans="1:12" s="23" customFormat="1" ht="12.75">
      <c r="A65" s="77" t="s">
        <v>41</v>
      </c>
      <c r="B65" s="78"/>
      <c r="C65" s="78"/>
      <c r="D65" s="78"/>
      <c r="E65" s="78"/>
      <c r="F65" s="78"/>
      <c r="G65" s="78"/>
      <c r="H65" s="78"/>
      <c r="I65" s="78"/>
      <c r="J65" s="78"/>
      <c r="K65" s="78"/>
      <c r="L65" s="82"/>
    </row>
    <row r="66" spans="1:5" ht="12.75">
      <c r="A66" s="24"/>
      <c r="D66"/>
      <c r="E66" s="16"/>
    </row>
    <row r="67" spans="1:12" ht="51.75" customHeight="1">
      <c r="A67" s="80" t="s">
        <v>54</v>
      </c>
      <c r="B67" s="80"/>
      <c r="C67" s="80"/>
      <c r="D67" s="80"/>
      <c r="E67" s="80"/>
      <c r="F67" s="80"/>
      <c r="G67" s="80"/>
      <c r="H67" s="80"/>
      <c r="I67" s="80"/>
      <c r="J67" s="80"/>
      <c r="K67" s="80"/>
      <c r="L67" s="80"/>
    </row>
    <row r="68" spans="1:5" ht="12.75">
      <c r="A68" s="16"/>
      <c r="D68"/>
      <c r="E68" s="16"/>
    </row>
    <row r="69" spans="2:4" ht="12.75">
      <c r="B69" s="24" t="s">
        <v>42</v>
      </c>
      <c r="C69" s="24"/>
      <c r="D69" s="16">
        <v>3322274</v>
      </c>
    </row>
    <row r="70" spans="2:4" ht="12.75">
      <c r="B70" s="24" t="s">
        <v>43</v>
      </c>
      <c r="C70" s="24"/>
      <c r="D70" s="16">
        <v>1107425</v>
      </c>
    </row>
    <row r="71" spans="2:4" ht="12.75">
      <c r="B71" s="16" t="s">
        <v>32</v>
      </c>
      <c r="C71" s="16" t="s">
        <v>32</v>
      </c>
      <c r="D71" s="16" t="s">
        <v>32</v>
      </c>
    </row>
    <row r="72" ht="12.75">
      <c r="D72" s="16" t="s">
        <v>32</v>
      </c>
    </row>
    <row r="73" ht="12.75">
      <c r="A73" s="24" t="s">
        <v>34</v>
      </c>
    </row>
  </sheetData>
  <sheetProtection/>
  <mergeCells count="11">
    <mergeCell ref="A57:L57"/>
    <mergeCell ref="A67:L67"/>
    <mergeCell ref="H10:L10"/>
    <mergeCell ref="A8:L8"/>
    <mergeCell ref="A1:L1"/>
    <mergeCell ref="A5:L5"/>
    <mergeCell ref="A4:L4"/>
    <mergeCell ref="A3:L3"/>
    <mergeCell ref="A2:L2"/>
    <mergeCell ref="A65:L65"/>
    <mergeCell ref="A31:L31"/>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4" r:id="rId3"/>
  <drawing r:id="rId2"/>
</worksheet>
</file>

<file path=xl/worksheets/sheet17.xml><?xml version="1.0" encoding="utf-8"?>
<worksheet xmlns="http://schemas.openxmlformats.org/spreadsheetml/2006/main" xmlns:r="http://schemas.openxmlformats.org/officeDocument/2006/relationships">
  <sheetPr>
    <pageSetUpPr fitToPage="1"/>
  </sheetPr>
  <dimension ref="A1:L70"/>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00390625" style="16" customWidth="1"/>
    <col min="12" max="12" width="12.7109375" style="0" customWidth="1"/>
  </cols>
  <sheetData>
    <row r="1" spans="1:11" ht="18">
      <c r="A1" s="70" t="s">
        <v>0</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4.25">
      <c r="A4" s="83" t="s">
        <v>3</v>
      </c>
      <c r="B4" s="83"/>
      <c r="C4" s="83"/>
      <c r="D4" s="83"/>
      <c r="E4" s="83"/>
      <c r="F4" s="83"/>
      <c r="G4" s="83"/>
      <c r="H4" s="83"/>
      <c r="I4" s="83"/>
      <c r="J4" s="83"/>
      <c r="K4" s="83"/>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74" t="s">
        <v>66</v>
      </c>
      <c r="B8" s="75"/>
      <c r="C8" s="75"/>
      <c r="D8" s="75"/>
      <c r="E8" s="75"/>
      <c r="F8" s="75"/>
      <c r="G8" s="75"/>
      <c r="H8" s="75"/>
      <c r="I8" s="75"/>
      <c r="J8" s="75"/>
      <c r="K8" s="81"/>
    </row>
    <row r="9" spans="1:11" s="1" customFormat="1" ht="9" customHeight="1">
      <c r="A9" s="3"/>
      <c r="B9" s="4"/>
      <c r="C9" s="4"/>
      <c r="D9" s="5"/>
      <c r="E9" s="6"/>
      <c r="F9" s="5"/>
      <c r="G9" s="5"/>
      <c r="H9" s="5"/>
      <c r="I9" s="5"/>
      <c r="J9" s="5"/>
      <c r="K9" s="5"/>
    </row>
    <row r="10" spans="1:11" s="1" customFormat="1" ht="12.75">
      <c r="A10" s="3"/>
      <c r="B10" s="5"/>
      <c r="C10" s="5"/>
      <c r="D10" s="5"/>
      <c r="E10" s="6"/>
      <c r="F10" s="5"/>
      <c r="G10" s="5"/>
      <c r="H10" s="76" t="s">
        <v>5</v>
      </c>
      <c r="I10" s="76"/>
      <c r="J10" s="76"/>
      <c r="K10" s="76"/>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39173</v>
      </c>
      <c r="B15" s="16">
        <v>130976289.20000002</v>
      </c>
      <c r="C15" s="16">
        <f aca="true" t="shared" si="0" ref="C15:C26">B15-D15</f>
        <v>120579677.75000001</v>
      </c>
      <c r="D15" s="16">
        <v>10396611.45</v>
      </c>
      <c r="E15" s="17">
        <f>39930/30</f>
        <v>1331</v>
      </c>
      <c r="F15" s="16">
        <v>260.3709353869271</v>
      </c>
      <c r="H15" s="16">
        <v>5198305.81</v>
      </c>
      <c r="I15" s="16">
        <v>3326915.65</v>
      </c>
      <c r="J15" s="16">
        <v>831728.92</v>
      </c>
      <c r="K15" s="16">
        <f aca="true" t="shared" si="1" ref="K15:K24">D15*0.1</f>
        <v>1039661.145</v>
      </c>
    </row>
    <row r="16" spans="1:11" ht="12.75">
      <c r="A16" s="3">
        <v>39203</v>
      </c>
      <c r="B16" s="16">
        <v>136018194.82</v>
      </c>
      <c r="C16" s="16">
        <f t="shared" si="0"/>
        <v>124780247.78999999</v>
      </c>
      <c r="D16" s="16">
        <v>11237947.030000001</v>
      </c>
      <c r="E16" s="17">
        <f>44196/31</f>
        <v>1425.6774193548388</v>
      </c>
      <c r="F16" s="16">
        <v>254.275206579781</v>
      </c>
      <c r="H16" s="16">
        <v>5618973.5600000005</v>
      </c>
      <c r="I16" s="16">
        <v>3596143.07</v>
      </c>
      <c r="J16" s="16">
        <v>899035.75</v>
      </c>
      <c r="K16" s="16">
        <f t="shared" si="1"/>
        <v>1123794.7030000002</v>
      </c>
    </row>
    <row r="17" spans="1:11" ht="12.75">
      <c r="A17" s="3">
        <v>39234</v>
      </c>
      <c r="B17" s="16">
        <v>149479286.14000002</v>
      </c>
      <c r="C17" s="16">
        <f t="shared" si="0"/>
        <v>137451415.41000003</v>
      </c>
      <c r="D17" s="16">
        <v>12027870.730000002</v>
      </c>
      <c r="E17" s="17">
        <f>52860/30</f>
        <v>1762</v>
      </c>
      <c r="F17" s="16">
        <v>227.5420115399168</v>
      </c>
      <c r="H17" s="16">
        <v>6013935.430000002</v>
      </c>
      <c r="I17" s="16">
        <v>3848918.61</v>
      </c>
      <c r="J17" s="16">
        <v>962229.63</v>
      </c>
      <c r="K17" s="16">
        <f t="shared" si="1"/>
        <v>1202787.0730000003</v>
      </c>
    </row>
    <row r="18" spans="1:11" ht="12.75">
      <c r="A18" s="3">
        <v>39264</v>
      </c>
      <c r="B18" s="16">
        <v>158659540.35</v>
      </c>
      <c r="C18" s="16">
        <f t="shared" si="0"/>
        <v>145845139.16</v>
      </c>
      <c r="D18" s="16">
        <v>12814401.190000003</v>
      </c>
      <c r="E18" s="17">
        <f>54622/31</f>
        <v>1762</v>
      </c>
      <c r="F18" s="16">
        <v>234.6014644282524</v>
      </c>
      <c r="H18" s="16">
        <v>6407200.65</v>
      </c>
      <c r="I18" s="16">
        <v>4100608.39</v>
      </c>
      <c r="J18" s="16">
        <v>1025152.08</v>
      </c>
      <c r="K18" s="16">
        <f t="shared" si="1"/>
        <v>1281440.1190000004</v>
      </c>
    </row>
    <row r="19" spans="1:11" ht="12.75">
      <c r="A19" s="3">
        <v>39295</v>
      </c>
      <c r="B19" s="16">
        <v>165302592.97000003</v>
      </c>
      <c r="C19" s="16">
        <f t="shared" si="0"/>
        <v>152163297.81000003</v>
      </c>
      <c r="D19" s="16">
        <v>13139295.16</v>
      </c>
      <c r="E19" s="17">
        <f>54622/31</f>
        <v>1762</v>
      </c>
      <c r="F19" s="16">
        <v>240.54950679213505</v>
      </c>
      <c r="H19" s="16">
        <v>6858131.389999999</v>
      </c>
      <c r="I19" s="16">
        <v>3916090.67</v>
      </c>
      <c r="J19" s="16">
        <v>1051143.6</v>
      </c>
      <c r="K19" s="16">
        <f t="shared" si="1"/>
        <v>1313929.516</v>
      </c>
    </row>
    <row r="20" spans="1:11" ht="12.75">
      <c r="A20" s="3">
        <v>39326</v>
      </c>
      <c r="B20" s="16">
        <v>143149621.94</v>
      </c>
      <c r="C20" s="16">
        <f t="shared" si="0"/>
        <v>131399960.67999999</v>
      </c>
      <c r="D20" s="16">
        <v>11749661.26</v>
      </c>
      <c r="E20" s="17">
        <f>52928/30</f>
        <v>1764.2666666666667</v>
      </c>
      <c r="F20" s="16">
        <v>221.993298</v>
      </c>
      <c r="H20" s="16">
        <v>6227320.47</v>
      </c>
      <c r="I20" s="16">
        <v>3407401.78</v>
      </c>
      <c r="J20" s="16">
        <v>939972.9</v>
      </c>
      <c r="K20" s="16">
        <f t="shared" si="1"/>
        <v>1174966.126</v>
      </c>
    </row>
    <row r="21" spans="1:11" ht="12.75">
      <c r="A21" s="3">
        <v>39356</v>
      </c>
      <c r="B21" s="16">
        <v>134025095.28</v>
      </c>
      <c r="C21" s="16">
        <f t="shared" si="0"/>
        <v>122999317.28</v>
      </c>
      <c r="D21" s="16">
        <v>11025778</v>
      </c>
      <c r="E21" s="17">
        <f>54878/31</f>
        <v>1770.258064516129</v>
      </c>
      <c r="F21" s="16">
        <f>D21/E21/31</f>
        <v>200.9143554794271</v>
      </c>
      <c r="H21" s="16">
        <v>5843662.56</v>
      </c>
      <c r="I21" s="16">
        <v>3197475.73</v>
      </c>
      <c r="J21" s="16">
        <f>D21*0.08</f>
        <v>882062.24</v>
      </c>
      <c r="K21" s="16">
        <f t="shared" si="1"/>
        <v>1102577.8</v>
      </c>
    </row>
    <row r="22" spans="1:11" ht="12.75">
      <c r="A22" s="3">
        <v>39387</v>
      </c>
      <c r="B22" s="16">
        <v>118939430.5</v>
      </c>
      <c r="C22" s="16">
        <f t="shared" si="0"/>
        <v>109005764.89</v>
      </c>
      <c r="D22" s="16">
        <v>9933665.61</v>
      </c>
      <c r="E22" s="17">
        <f>53100/30</f>
        <v>1770</v>
      </c>
      <c r="F22" s="16">
        <f>D22/E22/30</f>
        <v>187.07468192090394</v>
      </c>
      <c r="H22" s="16">
        <v>5264842.76</v>
      </c>
      <c r="I22" s="16">
        <v>2880763.03</v>
      </c>
      <c r="J22" s="16">
        <v>794693.25</v>
      </c>
      <c r="K22" s="16">
        <f t="shared" si="1"/>
        <v>993366.561</v>
      </c>
    </row>
    <row r="23" spans="1:11" ht="12.75">
      <c r="A23" s="3">
        <v>39417</v>
      </c>
      <c r="B23" s="16">
        <v>106392380.51</v>
      </c>
      <c r="C23" s="16">
        <f t="shared" si="0"/>
        <v>97496134.53</v>
      </c>
      <c r="D23" s="16">
        <v>8896245.98</v>
      </c>
      <c r="E23" s="17">
        <f>54870/31</f>
        <v>1770</v>
      </c>
      <c r="F23" s="16">
        <f>D23/E23/31</f>
        <v>162.1331507198834</v>
      </c>
      <c r="H23" s="16">
        <v>4751654.68</v>
      </c>
      <c r="I23" s="16">
        <v>2579911.32</v>
      </c>
      <c r="J23" s="16">
        <v>675055.4</v>
      </c>
      <c r="K23" s="16">
        <f t="shared" si="1"/>
        <v>889624.5980000001</v>
      </c>
    </row>
    <row r="24" spans="1:11" ht="12.75">
      <c r="A24" s="3">
        <v>39448</v>
      </c>
      <c r="B24" s="16">
        <v>123467059.1</v>
      </c>
      <c r="C24" s="16">
        <f t="shared" si="0"/>
        <v>113296643.96</v>
      </c>
      <c r="D24" s="16">
        <v>10170415.14</v>
      </c>
      <c r="E24" s="17">
        <v>1770</v>
      </c>
      <c r="F24" s="16">
        <f>D24/E24/31</f>
        <v>185.35475013668673</v>
      </c>
      <c r="H24" s="16">
        <v>5695432.48</v>
      </c>
      <c r="I24" s="16">
        <v>2949420.39</v>
      </c>
      <c r="J24" s="16">
        <v>508520.79</v>
      </c>
      <c r="K24" s="16">
        <f t="shared" si="1"/>
        <v>1017041.5140000001</v>
      </c>
    </row>
    <row r="25" spans="1:11" ht="12.75">
      <c r="A25" s="3">
        <v>39479</v>
      </c>
      <c r="B25" s="16">
        <v>117494189.18</v>
      </c>
      <c r="C25" s="16">
        <f t="shared" si="0"/>
        <v>107726572.98</v>
      </c>
      <c r="D25" s="16">
        <v>9767616.2</v>
      </c>
      <c r="E25" s="17">
        <f>51330/29</f>
        <v>1770</v>
      </c>
      <c r="F25" s="16">
        <f>D25/E25/29</f>
        <v>190.2905941944282</v>
      </c>
      <c r="H25" s="16">
        <v>5469865.07</v>
      </c>
      <c r="I25" s="16">
        <v>2832608.73</v>
      </c>
      <c r="J25" s="16">
        <v>488380.83</v>
      </c>
      <c r="K25" s="16">
        <f>D25*0.1</f>
        <v>976761.62</v>
      </c>
    </row>
    <row r="26" spans="1:11" ht="12.75">
      <c r="A26" s="3">
        <v>39508</v>
      </c>
      <c r="B26" s="16">
        <v>138426185.6</v>
      </c>
      <c r="C26" s="16">
        <f t="shared" si="0"/>
        <v>126882049.83999999</v>
      </c>
      <c r="D26" s="16">
        <v>11544135.76</v>
      </c>
      <c r="E26" s="17">
        <v>1770</v>
      </c>
      <c r="F26" s="16">
        <f>D26/E26/31</f>
        <v>210.39066447967923</v>
      </c>
      <c r="H26" s="16">
        <v>6464716.02</v>
      </c>
      <c r="I26" s="16">
        <v>3347799.37</v>
      </c>
      <c r="J26" s="16">
        <v>577206.8</v>
      </c>
      <c r="K26" s="16">
        <f>D26*0.1</f>
        <v>1154413.5760000001</v>
      </c>
    </row>
    <row r="27" spans="1:11" ht="13.5" thickBot="1">
      <c r="A27" s="3" t="s">
        <v>20</v>
      </c>
      <c r="B27" s="18">
        <f>SUM(B15:B26)</f>
        <v>1622329865.59</v>
      </c>
      <c r="C27" s="18">
        <f>SUM(C15:C26)</f>
        <v>1489626222.08</v>
      </c>
      <c r="D27" s="18">
        <f>SUM(D15:D26)</f>
        <v>132703643.51000002</v>
      </c>
      <c r="H27" s="18">
        <f>SUM(H15:H26)</f>
        <v>69814040.88000001</v>
      </c>
      <c r="I27" s="18">
        <f>SUM(I15:I26)</f>
        <v>39984056.739999995</v>
      </c>
      <c r="J27" s="18">
        <f>SUM(J15:J26)</f>
        <v>9635182.190000001</v>
      </c>
      <c r="K27" s="18">
        <f>SUM(K15:K26)</f>
        <v>13270364.351</v>
      </c>
    </row>
    <row r="28" spans="2:11" ht="10.5" customHeight="1" thickTop="1">
      <c r="B28" s="19"/>
      <c r="C28" s="19"/>
      <c r="D28" s="19"/>
      <c r="H28" s="19"/>
      <c r="I28" s="19"/>
      <c r="J28" s="19"/>
      <c r="K28" s="19"/>
    </row>
    <row r="29" spans="1:11" s="22" customFormat="1" ht="12.75">
      <c r="A29" s="20"/>
      <c r="B29" s="21"/>
      <c r="C29" s="21">
        <f>C27/B27</f>
        <v>0.9182018118973979</v>
      </c>
      <c r="D29" s="21">
        <f>D27/B27</f>
        <v>0.08179818810260212</v>
      </c>
      <c r="H29" s="21">
        <f>H27/$D$27</f>
        <v>0.5260898573198489</v>
      </c>
      <c r="I29" s="21">
        <f>I27/$D$27</f>
        <v>0.3013033831055811</v>
      </c>
      <c r="J29" s="21">
        <f>J27/$D$27</f>
        <v>0.07260676448023774</v>
      </c>
      <c r="K29" s="21">
        <f>K27/$D$27</f>
        <v>0.09999999999999998</v>
      </c>
    </row>
    <row r="31" spans="1:11" s="23" customFormat="1" ht="12.75">
      <c r="A31" s="74" t="s">
        <v>21</v>
      </c>
      <c r="B31" s="75"/>
      <c r="C31" s="75"/>
      <c r="D31" s="75"/>
      <c r="E31" s="75"/>
      <c r="F31" s="75"/>
      <c r="G31" s="75"/>
      <c r="H31" s="75"/>
      <c r="I31" s="75"/>
      <c r="J31" s="75"/>
      <c r="K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1" ht="6" customHeight="1">
      <c r="A46" s="25"/>
      <c r="B46" s="26"/>
      <c r="C46" s="26"/>
      <c r="E46" s="27"/>
      <c r="F46" s="26"/>
      <c r="G46" s="26"/>
      <c r="H46" s="26"/>
      <c r="I46" s="26"/>
      <c r="J46" s="26"/>
      <c r="K46" s="26"/>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1" ht="6" customHeight="1">
      <c r="A49" s="25"/>
      <c r="B49" s="26"/>
      <c r="C49" s="26"/>
      <c r="E49" s="27"/>
      <c r="F49" s="26"/>
      <c r="G49" s="26"/>
      <c r="H49" s="26"/>
      <c r="I49" s="26"/>
      <c r="J49" s="26"/>
      <c r="K49" s="26"/>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1" ht="12.75">
      <c r="A52" s="29"/>
      <c r="B52" s="30"/>
      <c r="C52" s="30"/>
      <c r="D52" s="30"/>
      <c r="E52" s="31"/>
      <c r="F52" s="30"/>
      <c r="G52" s="30"/>
      <c r="H52" s="30"/>
      <c r="I52" s="30"/>
      <c r="J52" s="30"/>
      <c r="K52" s="30"/>
    </row>
    <row r="53" spans="1:11" s="23" customFormat="1" ht="12.75">
      <c r="A53" s="74" t="s">
        <v>31</v>
      </c>
      <c r="B53" s="75"/>
      <c r="C53" s="75"/>
      <c r="D53" s="75"/>
      <c r="E53" s="75"/>
      <c r="F53" s="75"/>
      <c r="G53" s="75"/>
      <c r="H53" s="75"/>
      <c r="I53" s="75"/>
      <c r="J53" s="75"/>
      <c r="K53" s="81"/>
    </row>
    <row r="54" ht="12.75">
      <c r="A54" s="24"/>
    </row>
    <row r="55" spans="1:11" ht="13.5">
      <c r="A55" s="32"/>
      <c r="F55" s="10" t="s">
        <v>9</v>
      </c>
      <c r="G55" s="33"/>
      <c r="H55" s="10" t="s">
        <v>83</v>
      </c>
      <c r="I55" s="10" t="s">
        <v>10</v>
      </c>
      <c r="J55" s="54" t="s">
        <v>84</v>
      </c>
      <c r="K55" s="34"/>
    </row>
    <row r="56" spans="1:11" ht="12.75">
      <c r="A56" s="35"/>
      <c r="F56" s="8" t="s">
        <v>17</v>
      </c>
      <c r="G56" s="36"/>
      <c r="H56" s="8" t="s">
        <v>18</v>
      </c>
      <c r="I56" s="8" t="s">
        <v>19</v>
      </c>
      <c r="J56" s="55" t="s">
        <v>85</v>
      </c>
      <c r="K56" s="34"/>
    </row>
    <row r="57" spans="2:11" ht="12.75">
      <c r="B57" s="39" t="s">
        <v>37</v>
      </c>
      <c r="C57" s="39"/>
      <c r="D57" s="26"/>
      <c r="E57" s="27"/>
      <c r="F57" s="40">
        <v>0.5</v>
      </c>
      <c r="G57" s="26"/>
      <c r="H57" s="40">
        <v>0.32</v>
      </c>
      <c r="I57" s="40">
        <v>0.08</v>
      </c>
      <c r="J57" s="40">
        <v>0.1</v>
      </c>
      <c r="K57" s="38"/>
    </row>
    <row r="58" spans="2:11" ht="12.75">
      <c r="B58" s="39" t="s">
        <v>38</v>
      </c>
      <c r="C58" s="39"/>
      <c r="D58" s="26"/>
      <c r="E58" s="27"/>
      <c r="F58" s="40">
        <v>0.53</v>
      </c>
      <c r="G58" s="26"/>
      <c r="H58" s="40">
        <v>0.29</v>
      </c>
      <c r="I58" s="40">
        <v>0.08</v>
      </c>
      <c r="J58" s="40">
        <v>0.1</v>
      </c>
      <c r="K58" s="38"/>
    </row>
    <row r="59" spans="2:11" ht="12.75">
      <c r="B59" s="39" t="s">
        <v>39</v>
      </c>
      <c r="C59" s="39"/>
      <c r="D59" s="26"/>
      <c r="E59" s="27"/>
      <c r="F59" s="40">
        <v>0.56</v>
      </c>
      <c r="G59" s="26"/>
      <c r="H59" s="40">
        <v>0.29</v>
      </c>
      <c r="I59" s="40">
        <v>0.05</v>
      </c>
      <c r="J59" s="40">
        <v>0.1</v>
      </c>
      <c r="K59" s="38"/>
    </row>
    <row r="60" spans="2:11" ht="12.75">
      <c r="B60" s="39" t="s">
        <v>40</v>
      </c>
      <c r="C60" s="39"/>
      <c r="D60" s="26"/>
      <c r="E60" s="27"/>
      <c r="F60" s="40">
        <v>0.59</v>
      </c>
      <c r="G60" s="26"/>
      <c r="H60" s="40">
        <v>0.26</v>
      </c>
      <c r="I60" s="40">
        <v>0.05</v>
      </c>
      <c r="J60" s="40">
        <v>0.1</v>
      </c>
      <c r="K60" s="38"/>
    </row>
    <row r="61" ht="12.75">
      <c r="A61" s="24"/>
    </row>
    <row r="62" spans="1:11" s="23" customFormat="1" ht="12.75">
      <c r="A62" s="77" t="s">
        <v>41</v>
      </c>
      <c r="B62" s="78"/>
      <c r="C62" s="78"/>
      <c r="D62" s="78"/>
      <c r="E62" s="78"/>
      <c r="F62" s="78"/>
      <c r="G62" s="78"/>
      <c r="H62" s="78"/>
      <c r="I62" s="78"/>
      <c r="J62" s="78"/>
      <c r="K62" s="82"/>
    </row>
    <row r="63" spans="1:5" ht="12.75">
      <c r="A63" s="24"/>
      <c r="D63"/>
      <c r="E63" s="16"/>
    </row>
    <row r="64" spans="1:11" ht="51.75" customHeight="1">
      <c r="A64" s="84" t="s">
        <v>44</v>
      </c>
      <c r="B64" s="84"/>
      <c r="C64" s="84"/>
      <c r="D64" s="84"/>
      <c r="E64" s="84"/>
      <c r="F64" s="84"/>
      <c r="G64" s="84"/>
      <c r="H64" s="84"/>
      <c r="I64" s="84"/>
      <c r="J64" s="84"/>
      <c r="K64" s="84"/>
    </row>
    <row r="65" spans="1:5" ht="12.75">
      <c r="A65" s="16"/>
      <c r="D65"/>
      <c r="E65" s="16"/>
    </row>
    <row r="66" spans="2:4" ht="12.75">
      <c r="B66" s="24" t="s">
        <v>42</v>
      </c>
      <c r="C66" s="24"/>
      <c r="D66" s="16">
        <v>3830752</v>
      </c>
    </row>
    <row r="67" spans="2:4" ht="12.75">
      <c r="B67" s="24" t="s">
        <v>43</v>
      </c>
      <c r="C67" s="24"/>
      <c r="D67" s="16">
        <v>1276917</v>
      </c>
    </row>
    <row r="68" spans="2:4" ht="12.75">
      <c r="B68" s="16" t="s">
        <v>32</v>
      </c>
      <c r="C68" s="16" t="s">
        <v>32</v>
      </c>
      <c r="D68" s="16" t="s">
        <v>32</v>
      </c>
    </row>
    <row r="69" ht="12.75">
      <c r="D69" s="16" t="s">
        <v>32</v>
      </c>
    </row>
    <row r="70" ht="12.75">
      <c r="A70" s="24" t="s">
        <v>34</v>
      </c>
    </row>
  </sheetData>
  <sheetProtection/>
  <mergeCells count="11">
    <mergeCell ref="A1:K1"/>
    <mergeCell ref="A5:K5"/>
    <mergeCell ref="A4:K4"/>
    <mergeCell ref="A3:K3"/>
    <mergeCell ref="A2:K2"/>
    <mergeCell ref="A62:K62"/>
    <mergeCell ref="A64:K64"/>
    <mergeCell ref="A31:K31"/>
    <mergeCell ref="A53:K53"/>
    <mergeCell ref="H10:K10"/>
    <mergeCell ref="A8:K8"/>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9" r:id="rId3"/>
  <drawing r:id="rId2"/>
</worksheet>
</file>

<file path=xl/worksheets/sheet18.xml><?xml version="1.0" encoding="utf-8"?>
<worksheet xmlns="http://schemas.openxmlformats.org/spreadsheetml/2006/main" xmlns:r="http://schemas.openxmlformats.org/officeDocument/2006/relationships">
  <sheetPr>
    <pageSetUpPr fitToPage="1"/>
  </sheetPr>
  <dimension ref="A1:L63"/>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4.8515625" style="16" customWidth="1"/>
    <col min="12" max="12" width="12.7109375" style="0" customWidth="1"/>
  </cols>
  <sheetData>
    <row r="1" spans="1:11" ht="18">
      <c r="A1" s="70" t="s">
        <v>0</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4.25">
      <c r="A4" s="83" t="s">
        <v>3</v>
      </c>
      <c r="B4" s="83"/>
      <c r="C4" s="83"/>
      <c r="D4" s="83"/>
      <c r="E4" s="83"/>
      <c r="F4" s="83"/>
      <c r="G4" s="83"/>
      <c r="H4" s="83"/>
      <c r="I4" s="83"/>
      <c r="J4" s="83"/>
      <c r="K4" s="83"/>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74" t="s">
        <v>67</v>
      </c>
      <c r="B8" s="75"/>
      <c r="C8" s="75"/>
      <c r="D8" s="75"/>
      <c r="E8" s="75"/>
      <c r="F8" s="75"/>
      <c r="G8" s="75"/>
      <c r="H8" s="75"/>
      <c r="I8" s="75"/>
      <c r="J8" s="75"/>
      <c r="K8" s="81"/>
    </row>
    <row r="9" spans="1:11" s="1" customFormat="1" ht="9" customHeight="1">
      <c r="A9" s="3"/>
      <c r="B9" s="4"/>
      <c r="C9" s="4"/>
      <c r="D9" s="5"/>
      <c r="E9" s="6"/>
      <c r="F9" s="5"/>
      <c r="G9" s="5"/>
      <c r="H9" s="5"/>
      <c r="I9" s="5"/>
      <c r="J9" s="5"/>
      <c r="K9" s="5"/>
    </row>
    <row r="10" spans="1:11" s="1" customFormat="1" ht="12.75">
      <c r="A10" s="3"/>
      <c r="B10" s="5"/>
      <c r="C10" s="5"/>
      <c r="D10" s="5"/>
      <c r="E10" s="6"/>
      <c r="F10" s="5"/>
      <c r="G10" s="5"/>
      <c r="H10" s="76" t="s">
        <v>5</v>
      </c>
      <c r="I10" s="76"/>
      <c r="J10" s="76"/>
      <c r="K10" s="76"/>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38808</v>
      </c>
      <c r="B15" s="16">
        <v>123289303.36999999</v>
      </c>
      <c r="C15" s="16">
        <f aca="true" t="shared" si="0" ref="C15:C26">B15-D15</f>
        <v>113323889.05999999</v>
      </c>
      <c r="D15" s="16">
        <v>9965414.309999999</v>
      </c>
      <c r="E15" s="17">
        <f>39720/30</f>
        <v>1324</v>
      </c>
      <c r="F15" s="16">
        <v>250.89159894259816</v>
      </c>
      <c r="H15" s="16">
        <v>4982707.154999999</v>
      </c>
      <c r="I15" s="16">
        <f>D15-H15-J15-K15</f>
        <v>3188932.5791999996</v>
      </c>
      <c r="J15" s="16">
        <f>D15*0.08</f>
        <v>797233.1447999999</v>
      </c>
      <c r="K15" s="16">
        <f aca="true" t="shared" si="1" ref="K15:K26">D15*0.1</f>
        <v>996541.4309999999</v>
      </c>
    </row>
    <row r="16" spans="1:11" ht="12.75">
      <c r="A16" s="3">
        <v>38838</v>
      </c>
      <c r="B16" s="16">
        <v>124102085.73</v>
      </c>
      <c r="C16" s="16">
        <f t="shared" si="0"/>
        <v>113999175.55</v>
      </c>
      <c r="D16" s="16">
        <v>10102910.180000002</v>
      </c>
      <c r="E16" s="17">
        <f>41044/31</f>
        <v>1324</v>
      </c>
      <c r="F16" s="16">
        <v>246.1482842802846</v>
      </c>
      <c r="H16" s="16">
        <v>5051455.09</v>
      </c>
      <c r="I16" s="16">
        <f aca="true" t="shared" si="2" ref="I16:I26">D16-H16-J16-K16</f>
        <v>3232931.257600001</v>
      </c>
      <c r="J16" s="16">
        <f aca="true" t="shared" si="3" ref="J16:J24">D16*0.08</f>
        <v>808232.8144000001</v>
      </c>
      <c r="K16" s="16">
        <f t="shared" si="1"/>
        <v>1010291.0180000002</v>
      </c>
    </row>
    <row r="17" spans="1:11" ht="12.75">
      <c r="A17" s="3">
        <v>38869</v>
      </c>
      <c r="B17" s="16">
        <v>122634436.17</v>
      </c>
      <c r="C17" s="16">
        <f t="shared" si="0"/>
        <v>112626327.46</v>
      </c>
      <c r="D17" s="16">
        <v>10008108.710000003</v>
      </c>
      <c r="E17" s="17">
        <f>39720/30</f>
        <v>1324</v>
      </c>
      <c r="F17" s="16">
        <v>251.96648313192352</v>
      </c>
      <c r="H17" s="16">
        <v>5004054.355000001</v>
      </c>
      <c r="I17" s="16">
        <f t="shared" si="2"/>
        <v>3202594.787200001</v>
      </c>
      <c r="J17" s="16">
        <f t="shared" si="3"/>
        <v>800648.6968000003</v>
      </c>
      <c r="K17" s="16">
        <f t="shared" si="1"/>
        <v>1000810.8710000003</v>
      </c>
    </row>
    <row r="18" spans="1:11" ht="12.75">
      <c r="A18" s="3">
        <v>38899</v>
      </c>
      <c r="B18" s="16">
        <v>134720865.04</v>
      </c>
      <c r="C18" s="16">
        <f t="shared" si="0"/>
        <v>123602862.77999999</v>
      </c>
      <c r="D18" s="16">
        <v>11118002.26</v>
      </c>
      <c r="E18" s="17">
        <f>41044/31</f>
        <v>1324</v>
      </c>
      <c r="F18" s="16">
        <v>270.88008624890364</v>
      </c>
      <c r="H18" s="16">
        <v>5559001.13</v>
      </c>
      <c r="I18" s="16">
        <f t="shared" si="2"/>
        <v>3557760.7232</v>
      </c>
      <c r="J18" s="16">
        <f t="shared" si="3"/>
        <v>889440.1808</v>
      </c>
      <c r="K18" s="16">
        <f t="shared" si="1"/>
        <v>1111800.226</v>
      </c>
    </row>
    <row r="19" spans="1:11" ht="12.75">
      <c r="A19" s="3">
        <v>38930</v>
      </c>
      <c r="B19" s="16">
        <v>140895322.95999998</v>
      </c>
      <c r="C19" s="16">
        <f t="shared" si="0"/>
        <v>129578001.71999998</v>
      </c>
      <c r="D19" s="16">
        <v>11317321.239999998</v>
      </c>
      <c r="E19" s="17">
        <f>41072/31</f>
        <v>1324.9032258064517</v>
      </c>
      <c r="F19" s="16">
        <v>275.54833560576543</v>
      </c>
      <c r="H19" s="16">
        <v>5734013.319099999</v>
      </c>
      <c r="I19" s="16">
        <f t="shared" si="2"/>
        <v>3546190.0977</v>
      </c>
      <c r="J19" s="16">
        <f t="shared" si="3"/>
        <v>905385.6991999999</v>
      </c>
      <c r="K19" s="16">
        <f t="shared" si="1"/>
        <v>1131732.1239999998</v>
      </c>
    </row>
    <row r="20" spans="1:11" ht="12.75">
      <c r="A20" s="3">
        <v>38961</v>
      </c>
      <c r="B20" s="16">
        <v>128089035.56</v>
      </c>
      <c r="C20" s="16">
        <f t="shared" si="0"/>
        <v>117785753.49</v>
      </c>
      <c r="D20" s="16">
        <v>10303282.070000002</v>
      </c>
      <c r="E20" s="17">
        <f>39930/30</f>
        <v>1331</v>
      </c>
      <c r="F20" s="16">
        <v>258.0336105684949</v>
      </c>
      <c r="H20" s="16">
        <v>5460739.497099999</v>
      </c>
      <c r="I20" s="16">
        <f t="shared" si="2"/>
        <v>2987951.800300002</v>
      </c>
      <c r="J20" s="16">
        <f t="shared" si="3"/>
        <v>824262.5656000002</v>
      </c>
      <c r="K20" s="16">
        <f t="shared" si="1"/>
        <v>1030328.2070000003</v>
      </c>
    </row>
    <row r="21" spans="1:11" ht="12.75">
      <c r="A21" s="3">
        <v>38991</v>
      </c>
      <c r="B21" s="16">
        <v>122801700.36</v>
      </c>
      <c r="C21" s="16">
        <f t="shared" si="0"/>
        <v>113174960.87</v>
      </c>
      <c r="D21" s="16">
        <v>9626739.49</v>
      </c>
      <c r="E21" s="17">
        <f>41261/31</f>
        <v>1331</v>
      </c>
      <c r="F21" s="16">
        <v>233.3132859116357</v>
      </c>
      <c r="H21" s="16">
        <v>5102171.932199998</v>
      </c>
      <c r="I21" s="16">
        <f t="shared" si="2"/>
        <v>2791754.4496000023</v>
      </c>
      <c r="J21" s="16">
        <f t="shared" si="3"/>
        <v>770139.1592</v>
      </c>
      <c r="K21" s="16">
        <f t="shared" si="1"/>
        <v>962673.949</v>
      </c>
    </row>
    <row r="22" spans="1:11" ht="12.75">
      <c r="A22" s="3">
        <v>39022</v>
      </c>
      <c r="B22" s="16">
        <v>118455524.85000002</v>
      </c>
      <c r="C22" s="16">
        <f t="shared" si="0"/>
        <v>109043087.70000002</v>
      </c>
      <c r="D22" s="16">
        <v>9412437.15</v>
      </c>
      <c r="E22" s="17">
        <f>39930/30</f>
        <v>1331</v>
      </c>
      <c r="F22" s="16">
        <v>235.72344477836214</v>
      </c>
      <c r="H22" s="16">
        <v>4988591.67</v>
      </c>
      <c r="I22" s="16">
        <f t="shared" si="2"/>
        <v>2729606.7930000005</v>
      </c>
      <c r="J22" s="16">
        <f t="shared" si="3"/>
        <v>752994.9720000001</v>
      </c>
      <c r="K22" s="16">
        <f t="shared" si="1"/>
        <v>941243.7150000001</v>
      </c>
    </row>
    <row r="23" spans="1:11" ht="12.75">
      <c r="A23" s="3">
        <v>39052</v>
      </c>
      <c r="B23" s="16">
        <v>114076350.28999998</v>
      </c>
      <c r="C23" s="16">
        <f t="shared" si="0"/>
        <v>104929692.98999998</v>
      </c>
      <c r="D23" s="16">
        <v>9146657.3</v>
      </c>
      <c r="E23" s="17">
        <f>41261/31</f>
        <v>1331</v>
      </c>
      <c r="F23" s="16">
        <v>221.6780325246601</v>
      </c>
      <c r="H23" s="16">
        <v>4847728.35</v>
      </c>
      <c r="I23" s="16">
        <f t="shared" si="2"/>
        <v>2652530.6360000013</v>
      </c>
      <c r="J23" s="16">
        <f t="shared" si="3"/>
        <v>731732.584</v>
      </c>
      <c r="K23" s="16">
        <f t="shared" si="1"/>
        <v>914665.7300000001</v>
      </c>
    </row>
    <row r="24" spans="1:11" ht="12.75">
      <c r="A24" s="3">
        <v>39083</v>
      </c>
      <c r="B24" s="16">
        <v>113972927.30999999</v>
      </c>
      <c r="C24" s="16">
        <f t="shared" si="0"/>
        <v>105151909.37999998</v>
      </c>
      <c r="D24" s="16">
        <v>8821017.930000002</v>
      </c>
      <c r="E24" s="17">
        <f>41261/31</f>
        <v>1331</v>
      </c>
      <c r="F24" s="16">
        <v>213.78584934926448</v>
      </c>
      <c r="H24" s="16">
        <v>4675139.48</v>
      </c>
      <c r="I24" s="16">
        <f t="shared" si="2"/>
        <v>2558095.222600001</v>
      </c>
      <c r="J24" s="16">
        <f t="shared" si="3"/>
        <v>705681.4344000001</v>
      </c>
      <c r="K24" s="16">
        <f t="shared" si="1"/>
        <v>882101.7930000002</v>
      </c>
    </row>
    <row r="25" spans="1:11" ht="12.75">
      <c r="A25" s="3">
        <v>39114</v>
      </c>
      <c r="B25" s="16">
        <v>112568680.52999999</v>
      </c>
      <c r="C25" s="16">
        <f t="shared" si="0"/>
        <v>103440107.35999998</v>
      </c>
      <c r="D25" s="16">
        <v>9128573.169999998</v>
      </c>
      <c r="E25" s="17">
        <f>37268/28</f>
        <v>1331</v>
      </c>
      <c r="F25" s="16">
        <v>244.94400477621548</v>
      </c>
      <c r="H25" s="16">
        <v>5106657.69</v>
      </c>
      <c r="I25" s="16">
        <f t="shared" si="2"/>
        <v>2647286.222999998</v>
      </c>
      <c r="J25" s="16">
        <v>461771.94</v>
      </c>
      <c r="K25" s="16">
        <f t="shared" si="1"/>
        <v>912857.3169999998</v>
      </c>
    </row>
    <row r="26" spans="1:11" ht="12.75">
      <c r="A26" s="3">
        <v>39142</v>
      </c>
      <c r="B26" s="16">
        <v>133887949.22</v>
      </c>
      <c r="C26" s="16">
        <f t="shared" si="0"/>
        <v>123274344.8</v>
      </c>
      <c r="D26" s="16">
        <v>10613604.42</v>
      </c>
      <c r="E26" s="17">
        <f>41261/31</f>
        <v>1331</v>
      </c>
      <c r="F26" s="16">
        <v>257.23090618259374</v>
      </c>
      <c r="H26" s="16">
        <v>5943618.51</v>
      </c>
      <c r="I26" s="16">
        <f t="shared" si="2"/>
        <v>3077945.2470000004</v>
      </c>
      <c r="J26" s="16">
        <f>D26*0.05</f>
        <v>530680.221</v>
      </c>
      <c r="K26" s="16">
        <f t="shared" si="1"/>
        <v>1061360.442</v>
      </c>
    </row>
    <row r="27" spans="1:11" ht="13.5" thickBot="1">
      <c r="A27" s="3" t="s">
        <v>20</v>
      </c>
      <c r="B27" s="18">
        <f>SUM(B15:B26)</f>
        <v>1489494181.3899999</v>
      </c>
      <c r="C27" s="18">
        <f>SUM(C15:C26)</f>
        <v>1369930113.1599998</v>
      </c>
      <c r="D27" s="18">
        <f>SUM(D15:D26)</f>
        <v>119564068.23000002</v>
      </c>
      <c r="H27" s="18">
        <f>SUM(H15:H26)</f>
        <v>62455878.1784</v>
      </c>
      <c r="I27" s="18">
        <f>SUM(I15:I26)</f>
        <v>36173579.81640001</v>
      </c>
      <c r="J27" s="18">
        <f>SUM(J15:J26)</f>
        <v>8978203.4122</v>
      </c>
      <c r="K27" s="18">
        <f>SUM(K15:K26)</f>
        <v>11956406.822999999</v>
      </c>
    </row>
    <row r="28" spans="2:11" ht="10.5" customHeight="1" thickTop="1">
      <c r="B28" s="19"/>
      <c r="C28" s="19"/>
      <c r="D28" s="19"/>
      <c r="H28" s="19"/>
      <c r="I28" s="19"/>
      <c r="J28" s="19"/>
      <c r="K28" s="19"/>
    </row>
    <row r="29" spans="1:11" s="22" customFormat="1" ht="12.75">
      <c r="A29" s="20"/>
      <c r="B29" s="21"/>
      <c r="C29" s="21">
        <f>C27/B27</f>
        <v>0.9197284086612393</v>
      </c>
      <c r="D29" s="21">
        <f>D27/B27</f>
        <v>0.08027159133876073</v>
      </c>
      <c r="H29" s="21">
        <f>H27/$D$27</f>
        <v>0.5223632743765162</v>
      </c>
      <c r="I29" s="21">
        <f>I27/$D$27</f>
        <v>0.30254557537147797</v>
      </c>
      <c r="J29" s="21">
        <f>J27/$D$27</f>
        <v>0.07509115025200576</v>
      </c>
      <c r="K29" s="21">
        <f>K27/$D$27</f>
        <v>0.09999999999999998</v>
      </c>
    </row>
    <row r="31" spans="1:11" s="23" customFormat="1" ht="12.75">
      <c r="A31" s="74" t="s">
        <v>21</v>
      </c>
      <c r="B31" s="75"/>
      <c r="C31" s="75"/>
      <c r="D31" s="75"/>
      <c r="E31" s="75"/>
      <c r="F31" s="75"/>
      <c r="G31" s="75"/>
      <c r="H31" s="75"/>
      <c r="I31" s="75"/>
      <c r="J31" s="75"/>
      <c r="K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1" ht="6" customHeight="1">
      <c r="A46" s="25"/>
      <c r="B46" s="26"/>
      <c r="C46" s="26"/>
      <c r="E46" s="27"/>
      <c r="F46" s="26"/>
      <c r="G46" s="26"/>
      <c r="H46" s="26"/>
      <c r="I46" s="26"/>
      <c r="J46" s="26"/>
      <c r="K46" s="26"/>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1" ht="6" customHeight="1">
      <c r="A49" s="25"/>
      <c r="B49" s="26"/>
      <c r="C49" s="26"/>
      <c r="E49" s="27"/>
      <c r="F49" s="26"/>
      <c r="G49" s="26"/>
      <c r="H49" s="26"/>
      <c r="I49" s="26"/>
      <c r="J49" s="26"/>
      <c r="K49" s="26"/>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1" ht="12.75">
      <c r="A52" s="29"/>
      <c r="B52" s="30"/>
      <c r="C52" s="30"/>
      <c r="D52" s="30"/>
      <c r="E52" s="31"/>
      <c r="F52" s="30"/>
      <c r="G52" s="30"/>
      <c r="H52" s="30"/>
      <c r="I52" s="30"/>
      <c r="J52" s="30"/>
      <c r="K52" s="30"/>
    </row>
    <row r="53" spans="1:11" s="23" customFormat="1" ht="12.75">
      <c r="A53" s="74" t="s">
        <v>31</v>
      </c>
      <c r="B53" s="75"/>
      <c r="C53" s="75"/>
      <c r="D53" s="75"/>
      <c r="E53" s="75"/>
      <c r="F53" s="75"/>
      <c r="G53" s="75"/>
      <c r="H53" s="75"/>
      <c r="I53" s="75"/>
      <c r="J53" s="75"/>
      <c r="K53" s="81"/>
    </row>
    <row r="54" ht="12.75">
      <c r="A54" s="24"/>
    </row>
    <row r="55" spans="1:11" ht="13.5">
      <c r="A55" s="32"/>
      <c r="F55" s="10" t="s">
        <v>9</v>
      </c>
      <c r="G55" s="33"/>
      <c r="H55" s="10" t="s">
        <v>83</v>
      </c>
      <c r="I55" s="10" t="s">
        <v>10</v>
      </c>
      <c r="J55" s="54" t="s">
        <v>84</v>
      </c>
      <c r="K55" s="34"/>
    </row>
    <row r="56" spans="1:11" ht="12.75">
      <c r="A56" s="35"/>
      <c r="F56" s="8" t="s">
        <v>17</v>
      </c>
      <c r="G56" s="36"/>
      <c r="H56" s="8" t="s">
        <v>18</v>
      </c>
      <c r="I56" s="8" t="s">
        <v>19</v>
      </c>
      <c r="J56" s="55" t="s">
        <v>85</v>
      </c>
      <c r="K56" s="34"/>
    </row>
    <row r="57" spans="2:11" ht="12.75">
      <c r="B57" s="39" t="s">
        <v>37</v>
      </c>
      <c r="C57" s="39"/>
      <c r="D57" s="26"/>
      <c r="E57" s="27"/>
      <c r="F57" s="40">
        <v>0.5</v>
      </c>
      <c r="G57" s="26"/>
      <c r="H57" s="40">
        <v>0.32</v>
      </c>
      <c r="I57" s="40">
        <v>0.08</v>
      </c>
      <c r="J57" s="40">
        <v>0.1</v>
      </c>
      <c r="K57" s="38"/>
    </row>
    <row r="58" spans="2:11" ht="12.75">
      <c r="B58" s="39" t="s">
        <v>38</v>
      </c>
      <c r="C58" s="39"/>
      <c r="D58" s="26"/>
      <c r="E58" s="27"/>
      <c r="F58" s="40">
        <v>0.53</v>
      </c>
      <c r="G58" s="26"/>
      <c r="H58" s="40">
        <v>0.29</v>
      </c>
      <c r="I58" s="40">
        <v>0.08</v>
      </c>
      <c r="J58" s="40">
        <v>0.1</v>
      </c>
      <c r="K58" s="38"/>
    </row>
    <row r="59" spans="2:11" ht="12.75">
      <c r="B59" s="39" t="s">
        <v>39</v>
      </c>
      <c r="C59" s="39"/>
      <c r="D59" s="26"/>
      <c r="E59" s="27"/>
      <c r="F59" s="40">
        <v>0.56</v>
      </c>
      <c r="G59" s="26"/>
      <c r="H59" s="40">
        <v>0.29</v>
      </c>
      <c r="I59" s="40">
        <v>0.05</v>
      </c>
      <c r="J59" s="40">
        <v>0.1</v>
      </c>
      <c r="K59" s="38"/>
    </row>
    <row r="60" spans="2:11" ht="12.75">
      <c r="B60" s="39" t="s">
        <v>40</v>
      </c>
      <c r="C60" s="39"/>
      <c r="D60" s="26"/>
      <c r="E60" s="27"/>
      <c r="F60" s="40">
        <v>0.59</v>
      </c>
      <c r="G60" s="26"/>
      <c r="H60" s="40">
        <v>0.26</v>
      </c>
      <c r="I60" s="40">
        <v>0.05</v>
      </c>
      <c r="J60" s="40">
        <v>0.1</v>
      </c>
      <c r="K60" s="38"/>
    </row>
    <row r="61" ht="12.75">
      <c r="A61" s="24"/>
    </row>
    <row r="62" ht="12.75">
      <c r="D62" s="16" t="s">
        <v>32</v>
      </c>
    </row>
    <row r="63" ht="12.75">
      <c r="A63" s="24" t="s">
        <v>34</v>
      </c>
    </row>
  </sheetData>
  <sheetProtection/>
  <mergeCells count="9">
    <mergeCell ref="A53:K53"/>
    <mergeCell ref="H10:K10"/>
    <mergeCell ref="A8:K8"/>
    <mergeCell ref="A1:K1"/>
    <mergeCell ref="A5:K5"/>
    <mergeCell ref="A4:K4"/>
    <mergeCell ref="A3:K3"/>
    <mergeCell ref="A2:K2"/>
    <mergeCell ref="A31:K31"/>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9" r:id="rId3"/>
  <drawing r:id="rId2"/>
</worksheet>
</file>

<file path=xl/worksheets/sheet19.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140625" style="16" customWidth="1"/>
    <col min="12" max="12" width="12.7109375" style="0" customWidth="1"/>
  </cols>
  <sheetData>
    <row r="1" spans="1:11" ht="18">
      <c r="A1" s="70" t="s">
        <v>0</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4.25">
      <c r="A4" s="83" t="s">
        <v>3</v>
      </c>
      <c r="B4" s="83"/>
      <c r="C4" s="83"/>
      <c r="D4" s="83"/>
      <c r="E4" s="83"/>
      <c r="F4" s="83"/>
      <c r="G4" s="83"/>
      <c r="H4" s="83"/>
      <c r="I4" s="83"/>
      <c r="J4" s="83"/>
      <c r="K4" s="83"/>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74" t="s">
        <v>68</v>
      </c>
      <c r="B8" s="75"/>
      <c r="C8" s="75"/>
      <c r="D8" s="75"/>
      <c r="E8" s="75"/>
      <c r="F8" s="75"/>
      <c r="G8" s="75"/>
      <c r="H8" s="75"/>
      <c r="I8" s="75"/>
      <c r="J8" s="75"/>
      <c r="K8" s="81"/>
    </row>
    <row r="9" spans="1:11" s="1" customFormat="1" ht="9" customHeight="1">
      <c r="A9" s="3"/>
      <c r="B9" s="4"/>
      <c r="C9" s="4"/>
      <c r="D9" s="5"/>
      <c r="E9" s="6"/>
      <c r="F9" s="5"/>
      <c r="G9" s="5"/>
      <c r="H9" s="5"/>
      <c r="I9" s="5"/>
      <c r="J9" s="5"/>
      <c r="K9" s="5"/>
    </row>
    <row r="10" spans="1:11" s="1" customFormat="1" ht="12.75">
      <c r="A10" s="3"/>
      <c r="B10" s="5"/>
      <c r="C10" s="5"/>
      <c r="D10" s="5"/>
      <c r="E10" s="6"/>
      <c r="F10" s="5"/>
      <c r="G10" s="5"/>
      <c r="H10" s="76" t="s">
        <v>5</v>
      </c>
      <c r="I10" s="76"/>
      <c r="J10" s="76"/>
      <c r="K10" s="76"/>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38443</v>
      </c>
      <c r="B15" s="16">
        <v>111894318.11999999</v>
      </c>
      <c r="C15" s="16">
        <f aca="true" t="shared" si="0" ref="C15:C26">B15-D15</f>
        <v>103287698.38999999</v>
      </c>
      <c r="D15" s="16">
        <v>8606619.73</v>
      </c>
      <c r="E15" s="17">
        <f>39720/30</f>
        <v>1324</v>
      </c>
      <c r="F15" s="16">
        <v>216.68226913393758</v>
      </c>
      <c r="H15" s="16">
        <v>4694367.4011</v>
      </c>
      <c r="I15" s="16">
        <f aca="true" t="shared" si="1" ref="I15:I26">D15-H15-J15-K15</f>
        <v>2647466.2558999998</v>
      </c>
      <c r="J15" s="16">
        <v>404124.1</v>
      </c>
      <c r="K15" s="16">
        <f aca="true" t="shared" si="2" ref="K15:K26">D15*0.1</f>
        <v>860661.9730000001</v>
      </c>
    </row>
    <row r="16" spans="1:11" ht="12.75">
      <c r="A16" s="3">
        <v>38473</v>
      </c>
      <c r="B16" s="16">
        <v>118177976.26</v>
      </c>
      <c r="C16" s="16">
        <f t="shared" si="0"/>
        <v>109215980.31</v>
      </c>
      <c r="D16" s="16">
        <v>8961995.950000001</v>
      </c>
      <c r="E16" s="17">
        <f>41044/31</f>
        <v>1324</v>
      </c>
      <c r="F16" s="16">
        <v>218.35093923594195</v>
      </c>
      <c r="H16" s="16">
        <v>4480997.975000001</v>
      </c>
      <c r="I16" s="16">
        <f t="shared" si="1"/>
        <v>2867838.7040000004</v>
      </c>
      <c r="J16" s="16">
        <f aca="true" t="shared" si="3" ref="J16:J25">D16*0.08</f>
        <v>716959.6760000001</v>
      </c>
      <c r="K16" s="16">
        <f t="shared" si="2"/>
        <v>896199.5950000002</v>
      </c>
    </row>
    <row r="17" spans="1:11" ht="12.75">
      <c r="A17" s="3">
        <v>38504</v>
      </c>
      <c r="B17" s="16">
        <v>103627867.6</v>
      </c>
      <c r="C17" s="16">
        <f t="shared" si="0"/>
        <v>95363488.08999999</v>
      </c>
      <c r="D17" s="16">
        <v>8264379.510000002</v>
      </c>
      <c r="E17" s="17">
        <f>39720/30</f>
        <v>1324</v>
      </c>
      <c r="F17" s="16">
        <v>208.06594939577045</v>
      </c>
      <c r="H17" s="16">
        <v>4132189.755000001</v>
      </c>
      <c r="I17" s="16">
        <f t="shared" si="1"/>
        <v>2644601.4432000006</v>
      </c>
      <c r="J17" s="16">
        <f t="shared" si="3"/>
        <v>661150.3608000001</v>
      </c>
      <c r="K17" s="16">
        <f t="shared" si="2"/>
        <v>826437.9510000002</v>
      </c>
    </row>
    <row r="18" spans="1:11" ht="12.75">
      <c r="A18" s="3">
        <v>38534</v>
      </c>
      <c r="B18" s="16">
        <v>123253679.52999997</v>
      </c>
      <c r="C18" s="16">
        <f t="shared" si="0"/>
        <v>113403272.31999998</v>
      </c>
      <c r="D18" s="16">
        <v>9850407.209999999</v>
      </c>
      <c r="E18" s="17">
        <f>41044/31</f>
        <v>1324</v>
      </c>
      <c r="F18" s="16">
        <v>239.99627740960918</v>
      </c>
      <c r="H18" s="16">
        <v>4925203.6049999995</v>
      </c>
      <c r="I18" s="16">
        <f t="shared" si="1"/>
        <v>3152130.3071999997</v>
      </c>
      <c r="J18" s="16">
        <f t="shared" si="3"/>
        <v>788032.5767999999</v>
      </c>
      <c r="K18" s="16">
        <f t="shared" si="2"/>
        <v>985040.7209999999</v>
      </c>
    </row>
    <row r="19" spans="1:11" ht="12.75">
      <c r="A19" s="3">
        <v>38565</v>
      </c>
      <c r="B19" s="16">
        <v>130922823.23999998</v>
      </c>
      <c r="C19" s="16">
        <f t="shared" si="0"/>
        <v>120395140.86999997</v>
      </c>
      <c r="D19" s="16">
        <v>10527682.370000001</v>
      </c>
      <c r="E19" s="17">
        <f>41044/31</f>
        <v>1324</v>
      </c>
      <c r="F19" s="16">
        <v>256.497475148621</v>
      </c>
      <c r="H19" s="16">
        <v>5263841.1850000005</v>
      </c>
      <c r="I19" s="16">
        <f t="shared" si="1"/>
        <v>3368858.3584</v>
      </c>
      <c r="J19" s="16">
        <f t="shared" si="3"/>
        <v>842214.5896000001</v>
      </c>
      <c r="K19" s="16">
        <f t="shared" si="2"/>
        <v>1052768.2370000002</v>
      </c>
    </row>
    <row r="20" spans="1:11" ht="12.75">
      <c r="A20" s="3">
        <v>38596</v>
      </c>
      <c r="B20" s="16">
        <v>113740211.70999998</v>
      </c>
      <c r="C20" s="16">
        <f t="shared" si="0"/>
        <v>104771835.53999998</v>
      </c>
      <c r="D20" s="16">
        <v>8968376.17</v>
      </c>
      <c r="E20" s="17">
        <f>39720/30</f>
        <v>1324</v>
      </c>
      <c r="F20" s="16">
        <v>225.78993378650554</v>
      </c>
      <c r="H20" s="16">
        <v>4532919.856000001</v>
      </c>
      <c r="I20" s="16">
        <f t="shared" si="1"/>
        <v>2821148.603399999</v>
      </c>
      <c r="J20" s="16">
        <f t="shared" si="3"/>
        <v>717470.0936</v>
      </c>
      <c r="K20" s="16">
        <f t="shared" si="2"/>
        <v>896837.6170000001</v>
      </c>
    </row>
    <row r="21" spans="1:11" ht="12.75">
      <c r="A21" s="3">
        <v>38626</v>
      </c>
      <c r="B21" s="16">
        <v>114990115.76999998</v>
      </c>
      <c r="C21" s="16">
        <f t="shared" si="0"/>
        <v>105926664.90999998</v>
      </c>
      <c r="D21" s="16">
        <v>9063450.860000001</v>
      </c>
      <c r="E21" s="17">
        <f>41044/31</f>
        <v>1324</v>
      </c>
      <c r="F21" s="16">
        <v>220.82279651106134</v>
      </c>
      <c r="H21" s="16">
        <v>4803628.955800001</v>
      </c>
      <c r="I21" s="16">
        <f t="shared" si="1"/>
        <v>2628400.7494000006</v>
      </c>
      <c r="J21" s="16">
        <f t="shared" si="3"/>
        <v>725076.0688000001</v>
      </c>
      <c r="K21" s="16">
        <f t="shared" si="2"/>
        <v>906345.0860000001</v>
      </c>
    </row>
    <row r="22" spans="1:11" ht="12.75">
      <c r="A22" s="3">
        <v>38657</v>
      </c>
      <c r="B22" s="16">
        <v>104859188.27999999</v>
      </c>
      <c r="C22" s="16">
        <f t="shared" si="0"/>
        <v>96474982.16999999</v>
      </c>
      <c r="D22" s="16">
        <v>8384206.11</v>
      </c>
      <c r="E22" s="17">
        <f>39720/30</f>
        <v>1324</v>
      </c>
      <c r="F22" s="16">
        <v>211.08273187311178</v>
      </c>
      <c r="H22" s="16">
        <v>4443629.238300001</v>
      </c>
      <c r="I22" s="16">
        <f t="shared" si="1"/>
        <v>2431419.771899999</v>
      </c>
      <c r="J22" s="16">
        <f t="shared" si="3"/>
        <v>670736.4888</v>
      </c>
      <c r="K22" s="16">
        <f t="shared" si="2"/>
        <v>838420.611</v>
      </c>
    </row>
    <row r="23" spans="1:11" ht="12.75">
      <c r="A23" s="3">
        <v>38687</v>
      </c>
      <c r="B23" s="16">
        <v>101120382.32</v>
      </c>
      <c r="C23" s="16">
        <f t="shared" si="0"/>
        <v>93065333.99</v>
      </c>
      <c r="D23" s="16">
        <v>8055048.329999999</v>
      </c>
      <c r="E23" s="17">
        <f>41044/31</f>
        <v>1324</v>
      </c>
      <c r="F23" s="16">
        <v>196.25397938797386</v>
      </c>
      <c r="H23" s="16">
        <v>4269175.6149</v>
      </c>
      <c r="I23" s="16">
        <f t="shared" si="1"/>
        <v>2335964.015699999</v>
      </c>
      <c r="J23" s="16">
        <f t="shared" si="3"/>
        <v>644403.8663999999</v>
      </c>
      <c r="K23" s="16">
        <f t="shared" si="2"/>
        <v>805504.833</v>
      </c>
    </row>
    <row r="24" spans="1:11" ht="12.75">
      <c r="A24" s="3">
        <v>38718</v>
      </c>
      <c r="B24" s="16">
        <v>115365876.81000002</v>
      </c>
      <c r="C24" s="16">
        <f t="shared" si="0"/>
        <v>106130391.43000002</v>
      </c>
      <c r="D24" s="16">
        <v>9235485.379999999</v>
      </c>
      <c r="E24" s="17">
        <f>41044/31</f>
        <v>1324</v>
      </c>
      <c r="F24" s="16">
        <v>225.0142622551408</v>
      </c>
      <c r="H24" s="16">
        <v>4894807.2513999995</v>
      </c>
      <c r="I24" s="16">
        <f t="shared" si="1"/>
        <v>2678290.7601999994</v>
      </c>
      <c r="J24" s="16">
        <f t="shared" si="3"/>
        <v>738838.8304</v>
      </c>
      <c r="K24" s="16">
        <f t="shared" si="2"/>
        <v>923548.538</v>
      </c>
    </row>
    <row r="25" spans="1:11" ht="12.75">
      <c r="A25" s="3">
        <v>38749</v>
      </c>
      <c r="B25" s="16">
        <v>112439142.07000004</v>
      </c>
      <c r="C25" s="16">
        <f t="shared" si="0"/>
        <v>103590099.81000003</v>
      </c>
      <c r="D25" s="16">
        <v>8849042.26</v>
      </c>
      <c r="E25" s="17">
        <f>37072/28</f>
        <v>1324</v>
      </c>
      <c r="F25" s="16">
        <v>238.69880934397926</v>
      </c>
      <c r="H25" s="16">
        <v>4689992.3978</v>
      </c>
      <c r="I25" s="16">
        <f t="shared" si="1"/>
        <v>2566222.255399999</v>
      </c>
      <c r="J25" s="16">
        <f t="shared" si="3"/>
        <v>707923.3808</v>
      </c>
      <c r="K25" s="16">
        <f t="shared" si="2"/>
        <v>884904.226</v>
      </c>
    </row>
    <row r="26" spans="1:11" ht="12.75">
      <c r="A26" s="3">
        <v>38777</v>
      </c>
      <c r="B26" s="16">
        <v>125301238.82000002</v>
      </c>
      <c r="C26" s="16">
        <f t="shared" si="0"/>
        <v>115067865.91000003</v>
      </c>
      <c r="D26" s="16">
        <v>10233372.909999998</v>
      </c>
      <c r="E26" s="17">
        <f>41044/31</f>
        <v>1324</v>
      </c>
      <c r="F26" s="16">
        <v>249.3268908975733</v>
      </c>
      <c r="H26" s="16">
        <v>5587037.586</v>
      </c>
      <c r="I26" s="16">
        <f t="shared" si="1"/>
        <v>2967678.1529999985</v>
      </c>
      <c r="J26" s="16">
        <v>655319.88</v>
      </c>
      <c r="K26" s="16">
        <f t="shared" si="2"/>
        <v>1023337.2909999999</v>
      </c>
    </row>
    <row r="27" spans="1:11" ht="13.5" thickBot="1">
      <c r="A27" s="3" t="s">
        <v>20</v>
      </c>
      <c r="B27" s="18">
        <f>SUM(B15:B26)</f>
        <v>1375692820.5299997</v>
      </c>
      <c r="C27" s="18">
        <f>SUM(C15:C26)</f>
        <v>1266692753.74</v>
      </c>
      <c r="D27" s="18">
        <f>SUM(D15:D26)</f>
        <v>109000066.78999999</v>
      </c>
      <c r="H27" s="18">
        <f>SUM(H15:H26)</f>
        <v>56717790.8213</v>
      </c>
      <c r="I27" s="18">
        <f>SUM(I15:I26)</f>
        <v>33110019.37769999</v>
      </c>
      <c r="J27" s="18">
        <f>SUM(J15:J26)</f>
        <v>8272249.912000001</v>
      </c>
      <c r="K27" s="18">
        <f>SUM(K15:K26)</f>
        <v>10900006.679</v>
      </c>
    </row>
    <row r="28" spans="2:11" ht="10.5" customHeight="1" thickTop="1">
      <c r="B28" s="19"/>
      <c r="C28" s="19"/>
      <c r="D28" s="19"/>
      <c r="H28" s="19"/>
      <c r="I28" s="19"/>
      <c r="J28" s="19"/>
      <c r="K28" s="19"/>
    </row>
    <row r="29" spans="1:11" s="22" customFormat="1" ht="12.75">
      <c r="A29" s="20"/>
      <c r="B29" s="21"/>
      <c r="C29" s="21">
        <f>C27/B27</f>
        <v>0.9207671471687943</v>
      </c>
      <c r="D29" s="21">
        <f>D27/B27</f>
        <v>0.07923285283120587</v>
      </c>
      <c r="H29" s="21">
        <f>H27/$D$27</f>
        <v>0.5203463859391274</v>
      </c>
      <c r="I29" s="21">
        <f>I27/$D$27</f>
        <v>0.3037614595364414</v>
      </c>
      <c r="J29" s="21">
        <f>J27/$D$27</f>
        <v>0.07589215452443121</v>
      </c>
      <c r="K29" s="21">
        <f>K27/$D$27</f>
        <v>0.1</v>
      </c>
    </row>
    <row r="31" spans="1:11" s="23" customFormat="1" ht="12.75">
      <c r="A31" s="74" t="s">
        <v>21</v>
      </c>
      <c r="B31" s="75"/>
      <c r="C31" s="75"/>
      <c r="D31" s="75"/>
      <c r="E31" s="75"/>
      <c r="F31" s="75"/>
      <c r="G31" s="75"/>
      <c r="H31" s="75"/>
      <c r="I31" s="75"/>
      <c r="J31" s="75"/>
      <c r="K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1" ht="6" customHeight="1">
      <c r="A46" s="25"/>
      <c r="B46" s="26"/>
      <c r="C46" s="26"/>
      <c r="E46" s="27"/>
      <c r="F46" s="26"/>
      <c r="G46" s="26"/>
      <c r="H46" s="26"/>
      <c r="I46" s="26"/>
      <c r="J46" s="26"/>
      <c r="K46" s="26"/>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1" ht="6" customHeight="1">
      <c r="A49" s="25"/>
      <c r="B49" s="26"/>
      <c r="C49" s="26"/>
      <c r="E49" s="27"/>
      <c r="F49" s="26"/>
      <c r="G49" s="26"/>
      <c r="H49" s="26"/>
      <c r="I49" s="26"/>
      <c r="J49" s="26"/>
      <c r="K49" s="26"/>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1" ht="12.75">
      <c r="A52" s="29"/>
      <c r="B52" s="30"/>
      <c r="C52" s="30"/>
      <c r="D52" s="30"/>
      <c r="E52" s="31"/>
      <c r="F52" s="30"/>
      <c r="G52" s="30"/>
      <c r="H52" s="30"/>
      <c r="I52" s="30"/>
      <c r="J52" s="30"/>
      <c r="K52" s="30"/>
    </row>
    <row r="53" spans="1:11" s="23" customFormat="1" ht="12.75">
      <c r="A53" s="74" t="s">
        <v>31</v>
      </c>
      <c r="B53" s="75"/>
      <c r="C53" s="75"/>
      <c r="D53" s="75"/>
      <c r="E53" s="75"/>
      <c r="F53" s="75"/>
      <c r="G53" s="75"/>
      <c r="H53" s="75"/>
      <c r="I53" s="75"/>
      <c r="J53" s="75"/>
      <c r="K53" s="81"/>
    </row>
    <row r="54" ht="12.75">
      <c r="A54" s="24"/>
    </row>
    <row r="55" spans="1:11" ht="13.5">
      <c r="A55" s="32"/>
      <c r="F55" s="10" t="s">
        <v>9</v>
      </c>
      <c r="G55" s="33"/>
      <c r="H55" s="10" t="s">
        <v>83</v>
      </c>
      <c r="I55" s="10" t="s">
        <v>10</v>
      </c>
      <c r="J55" s="54" t="s">
        <v>84</v>
      </c>
      <c r="K55" s="34"/>
    </row>
    <row r="56" spans="1:11" ht="12.75">
      <c r="A56" s="35"/>
      <c r="F56" s="8" t="s">
        <v>17</v>
      </c>
      <c r="G56" s="36"/>
      <c r="H56" s="8" t="s">
        <v>18</v>
      </c>
      <c r="I56" s="8" t="s">
        <v>19</v>
      </c>
      <c r="J56" s="55" t="s">
        <v>85</v>
      </c>
      <c r="K56" s="34"/>
    </row>
    <row r="57" spans="2:11" ht="12.75">
      <c r="B57" s="41" t="s">
        <v>35</v>
      </c>
      <c r="F57" s="15"/>
      <c r="G57" s="37"/>
      <c r="H57" s="15"/>
      <c r="I57" s="15"/>
      <c r="J57" s="15"/>
      <c r="K57" s="38"/>
    </row>
    <row r="58" spans="2:11" ht="12.75">
      <c r="B58" s="39" t="s">
        <v>33</v>
      </c>
      <c r="C58" s="39"/>
      <c r="D58" s="26"/>
      <c r="E58" s="27"/>
      <c r="F58" s="40">
        <v>0.61</v>
      </c>
      <c r="G58" s="26"/>
      <c r="H58" s="40">
        <v>0.29</v>
      </c>
      <c r="I58" s="40">
        <v>0</v>
      </c>
      <c r="J58" s="40">
        <v>0.1</v>
      </c>
      <c r="K58" s="38"/>
    </row>
    <row r="59" spans="6:11" ht="12.75">
      <c r="F59" s="15"/>
      <c r="G59" s="37"/>
      <c r="H59" s="15"/>
      <c r="I59" s="15"/>
      <c r="J59" s="15"/>
      <c r="K59" s="38"/>
    </row>
    <row r="60" spans="2:11" ht="12.75">
      <c r="B60" s="41" t="s">
        <v>36</v>
      </c>
      <c r="F60" s="15"/>
      <c r="G60" s="37"/>
      <c r="H60" s="15"/>
      <c r="I60" s="15"/>
      <c r="J60" s="15"/>
      <c r="K60" s="38"/>
    </row>
    <row r="61" spans="1:10" ht="12.75">
      <c r="A61" s="24"/>
      <c r="B61" s="39" t="s">
        <v>37</v>
      </c>
      <c r="C61" s="39"/>
      <c r="D61" s="26"/>
      <c r="E61" s="27"/>
      <c r="F61" s="40">
        <v>0.5</v>
      </c>
      <c r="G61" s="26"/>
      <c r="H61" s="40">
        <v>0.32</v>
      </c>
      <c r="I61" s="40">
        <v>0.08</v>
      </c>
      <c r="J61" s="40">
        <v>0.1</v>
      </c>
    </row>
    <row r="62" spans="2:10" ht="12.75">
      <c r="B62" s="39" t="s">
        <v>38</v>
      </c>
      <c r="C62" s="39"/>
      <c r="D62" s="26"/>
      <c r="E62" s="27"/>
      <c r="F62" s="40">
        <v>0.53</v>
      </c>
      <c r="G62" s="26"/>
      <c r="H62" s="40">
        <v>0.29</v>
      </c>
      <c r="I62" s="40">
        <v>0.08</v>
      </c>
      <c r="J62" s="40">
        <v>0.1</v>
      </c>
    </row>
    <row r="63" spans="2:10" ht="12.75">
      <c r="B63" s="39" t="s">
        <v>39</v>
      </c>
      <c r="C63" s="39"/>
      <c r="D63" s="26"/>
      <c r="E63" s="27"/>
      <c r="F63" s="40">
        <v>0.56</v>
      </c>
      <c r="G63" s="26"/>
      <c r="H63" s="40">
        <v>0.29</v>
      </c>
      <c r="I63" s="40">
        <v>0.05</v>
      </c>
      <c r="J63" s="40">
        <v>0.1</v>
      </c>
    </row>
    <row r="64" spans="2:10" ht="12.75">
      <c r="B64" s="39" t="s">
        <v>40</v>
      </c>
      <c r="C64" s="39"/>
      <c r="D64" s="26"/>
      <c r="E64" s="27"/>
      <c r="F64" s="40">
        <v>0.59</v>
      </c>
      <c r="G64" s="26"/>
      <c r="H64" s="40">
        <v>0.26</v>
      </c>
      <c r="I64" s="40">
        <v>0.05</v>
      </c>
      <c r="J64" s="40">
        <v>0.1</v>
      </c>
    </row>
    <row r="67" ht="12.75">
      <c r="A67" s="24" t="s">
        <v>34</v>
      </c>
    </row>
  </sheetData>
  <sheetProtection/>
  <mergeCells count="9">
    <mergeCell ref="A31:K31"/>
    <mergeCell ref="A53:K53"/>
    <mergeCell ref="H10:K10"/>
    <mergeCell ref="A8:K8"/>
    <mergeCell ref="A1:K1"/>
    <mergeCell ref="A5:K5"/>
    <mergeCell ref="A4:K4"/>
    <mergeCell ref="A3:K3"/>
    <mergeCell ref="A2:K2"/>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workbookViewId="0" topLeftCell="A1">
      <selection activeCell="A1" sqref="A1:K1"/>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10.57421875" style="17" customWidth="1"/>
    <col min="7" max="7" width="10.57421875" style="16" customWidth="1"/>
    <col min="8" max="8" width="4.00390625" style="16" customWidth="1"/>
    <col min="9" max="9" width="13.140625" style="16" customWidth="1"/>
    <col min="10" max="10" width="12.57421875" style="16" customWidth="1"/>
    <col min="11" max="11" width="12.8515625" style="16" bestFit="1" customWidth="1"/>
    <col min="12" max="12" width="12.7109375" style="0" customWidth="1"/>
  </cols>
  <sheetData>
    <row r="1" spans="1:11" ht="18">
      <c r="A1" s="70" t="s">
        <v>111</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5">
      <c r="A4" s="72" t="s">
        <v>112</v>
      </c>
      <c r="B4" s="72"/>
      <c r="C4" s="72"/>
      <c r="D4" s="72"/>
      <c r="E4" s="72"/>
      <c r="F4" s="72"/>
      <c r="G4" s="72"/>
      <c r="H4" s="72"/>
      <c r="I4" s="72"/>
      <c r="J4" s="72"/>
      <c r="K4" s="72"/>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74" t="s">
        <v>131</v>
      </c>
      <c r="B8" s="75"/>
      <c r="C8" s="75"/>
      <c r="D8" s="75"/>
      <c r="E8" s="75"/>
      <c r="F8" s="75"/>
      <c r="G8" s="75"/>
      <c r="H8" s="75"/>
      <c r="I8" s="75"/>
      <c r="J8" s="75"/>
      <c r="K8" s="75"/>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76" t="s">
        <v>5</v>
      </c>
      <c r="J10" s="76"/>
      <c r="K10" s="76"/>
    </row>
    <row r="11" spans="1:13" s="1" customFormat="1" ht="12.75">
      <c r="A11" s="3"/>
      <c r="B11" s="5"/>
      <c r="C11" s="5"/>
      <c r="D11" s="5"/>
      <c r="E11" s="5"/>
      <c r="F11" s="6"/>
      <c r="G11" s="5"/>
      <c r="H11" s="5"/>
      <c r="I11" s="5"/>
      <c r="K11" s="5"/>
      <c r="M11" s="5"/>
    </row>
    <row r="12" spans="1:11" s="12" customFormat="1" ht="12">
      <c r="A12" s="9"/>
      <c r="B12" s="10" t="s">
        <v>6</v>
      </c>
      <c r="C12" s="10" t="s">
        <v>75</v>
      </c>
      <c r="D12" s="10" t="s">
        <v>6</v>
      </c>
      <c r="E12" s="10"/>
      <c r="F12" s="11" t="s">
        <v>7</v>
      </c>
      <c r="G12" s="10" t="s">
        <v>8</v>
      </c>
      <c r="H12" s="10"/>
      <c r="I12" s="10" t="s">
        <v>9</v>
      </c>
      <c r="J12" s="10" t="s">
        <v>84</v>
      </c>
      <c r="K12" s="10" t="s">
        <v>83</v>
      </c>
    </row>
    <row r="13" spans="1:11" s="12" customFormat="1" ht="12">
      <c r="A13" s="13" t="s">
        <v>11</v>
      </c>
      <c r="B13" s="8" t="s">
        <v>12</v>
      </c>
      <c r="C13" s="8" t="s">
        <v>19</v>
      </c>
      <c r="D13" s="8" t="s">
        <v>13</v>
      </c>
      <c r="E13" s="8" t="s">
        <v>14</v>
      </c>
      <c r="F13" s="14" t="s">
        <v>15</v>
      </c>
      <c r="G13" s="8" t="s">
        <v>16</v>
      </c>
      <c r="H13" s="15"/>
      <c r="I13" s="8" t="s">
        <v>17</v>
      </c>
      <c r="J13" s="8" t="s">
        <v>85</v>
      </c>
      <c r="K13" s="8" t="s">
        <v>18</v>
      </c>
    </row>
    <row r="15" spans="1:11" ht="12.75">
      <c r="A15" s="68">
        <v>44652</v>
      </c>
      <c r="B15" s="16">
        <v>181677289.95999998</v>
      </c>
      <c r="C15" s="16">
        <v>1182473.88</v>
      </c>
      <c r="D15" s="63">
        <f aca="true" t="shared" si="0" ref="D15:D26">IF(ISBLANK(B15),"",B15-C15-E15)</f>
        <v>168162801.89999998</v>
      </c>
      <c r="E15" s="16">
        <v>12332014.179999996</v>
      </c>
      <c r="F15" s="27">
        <v>1294</v>
      </c>
      <c r="G15" s="63">
        <f>_xlfn.IFERROR((E15/F15/30)," ")</f>
        <v>317.67166872746</v>
      </c>
      <c r="I15" s="16">
        <v>5734386.599999999</v>
      </c>
      <c r="J15" s="16">
        <v>1233201.4399999997</v>
      </c>
      <c r="K15" s="16">
        <v>5364426.18</v>
      </c>
    </row>
    <row r="16" spans="1:11" ht="12.75">
      <c r="A16" s="68">
        <v>44682</v>
      </c>
      <c r="B16" s="16">
        <v>172138139.77</v>
      </c>
      <c r="C16" s="26">
        <v>1091459.17</v>
      </c>
      <c r="D16" s="63">
        <f t="shared" si="0"/>
        <v>159260431.3</v>
      </c>
      <c r="E16" s="16">
        <v>11786249.300000003</v>
      </c>
      <c r="F16" s="17">
        <v>1294</v>
      </c>
      <c r="G16" s="63">
        <f>_xlfn.IFERROR((E16/F16/31)," ")</f>
        <v>293.8188487809743</v>
      </c>
      <c r="I16" s="16">
        <v>5480605.920000001</v>
      </c>
      <c r="J16" s="16">
        <v>1178624.96</v>
      </c>
      <c r="K16" s="16">
        <v>5127018.430000001</v>
      </c>
    </row>
    <row r="17" spans="1:11" ht="12.75">
      <c r="A17" s="68">
        <v>44713</v>
      </c>
      <c r="B17" s="16">
        <v>166650115.68</v>
      </c>
      <c r="C17" s="26">
        <v>1079147.17</v>
      </c>
      <c r="D17" s="63">
        <f t="shared" si="0"/>
        <v>153559187.13000003</v>
      </c>
      <c r="E17" s="16">
        <v>12011781.38</v>
      </c>
      <c r="F17" s="17">
        <v>1294</v>
      </c>
      <c r="G17" s="63">
        <f aca="true" t="shared" si="1" ref="G17:G22">_xlfn.IFERROR((E17/F17/30)," ")</f>
        <v>309.42249819680575</v>
      </c>
      <c r="I17" s="16">
        <v>5585478.340000001</v>
      </c>
      <c r="J17" s="16">
        <v>1201178.1499999997</v>
      </c>
      <c r="K17" s="16">
        <v>5225124.889999998</v>
      </c>
    </row>
    <row r="18" spans="1:11" ht="12.75">
      <c r="A18" s="68">
        <v>44743</v>
      </c>
      <c r="B18" s="16">
        <v>192509450.89999998</v>
      </c>
      <c r="C18" s="26">
        <v>1233719.0400000003</v>
      </c>
      <c r="D18" s="63">
        <f t="shared" si="0"/>
        <v>177762364.95</v>
      </c>
      <c r="E18" s="16">
        <v>13513366.910000002</v>
      </c>
      <c r="F18" s="17">
        <v>1293</v>
      </c>
      <c r="G18" s="63">
        <f>_xlfn.IFERROR((E18/F18/31)," ")</f>
        <v>337.1346184167852</v>
      </c>
      <c r="I18" s="16">
        <v>6283715.620000001</v>
      </c>
      <c r="J18" s="16">
        <v>1351336.7199999997</v>
      </c>
      <c r="K18" s="16">
        <v>5878314.63</v>
      </c>
    </row>
    <row r="19" spans="1:11" ht="12.75">
      <c r="A19" s="68">
        <v>44774</v>
      </c>
      <c r="B19" s="16">
        <v>191235620.45000002</v>
      </c>
      <c r="C19" s="26">
        <v>1150572.79</v>
      </c>
      <c r="D19" s="63">
        <f t="shared" si="0"/>
        <v>176917903.34000003</v>
      </c>
      <c r="E19" s="16">
        <v>13167144.319999998</v>
      </c>
      <c r="F19" s="17">
        <v>1296</v>
      </c>
      <c r="G19" s="63">
        <f>_xlfn.IFERROR((E19/F19/31)," ")</f>
        <v>327.7365671047391</v>
      </c>
      <c r="I19" s="16">
        <v>6122722.1</v>
      </c>
      <c r="J19" s="16">
        <v>1316714.4499999997</v>
      </c>
      <c r="K19" s="16">
        <v>5727707.800000002</v>
      </c>
    </row>
    <row r="20" spans="1:11" ht="12.75">
      <c r="A20" s="68">
        <v>44805</v>
      </c>
      <c r="B20" s="16">
        <v>172048347.98000002</v>
      </c>
      <c r="C20" s="16">
        <v>1081902.49</v>
      </c>
      <c r="D20" s="63">
        <f t="shared" si="0"/>
        <v>158955970.51000002</v>
      </c>
      <c r="E20" s="16">
        <v>12010474.979999997</v>
      </c>
      <c r="F20" s="17">
        <v>1296</v>
      </c>
      <c r="G20" s="63">
        <f t="shared" si="1"/>
        <v>308.9113935185184</v>
      </c>
      <c r="I20" s="16">
        <v>5584870.86</v>
      </c>
      <c r="J20" s="16">
        <v>1201047.4799999997</v>
      </c>
      <c r="K20" s="26">
        <v>5224556.630000002</v>
      </c>
    </row>
    <row r="21" spans="1:11" ht="12.75">
      <c r="A21" s="68">
        <v>44835</v>
      </c>
      <c r="B21" s="16">
        <v>174354837.33999997</v>
      </c>
      <c r="C21" s="16">
        <v>1116990.8100000003</v>
      </c>
      <c r="D21" s="63">
        <f t="shared" si="0"/>
        <v>160961564.07999998</v>
      </c>
      <c r="E21" s="16">
        <v>12276282.45</v>
      </c>
      <c r="F21" s="17">
        <v>1296</v>
      </c>
      <c r="G21" s="63">
        <f>_xlfn.IFERROR((E21/F21/31)," ")</f>
        <v>305.5625858721625</v>
      </c>
      <c r="I21" s="16">
        <v>5708471.35</v>
      </c>
      <c r="J21" s="16">
        <v>1227628.2599999998</v>
      </c>
      <c r="K21" s="16">
        <v>5340182.869999999</v>
      </c>
    </row>
    <row r="22" spans="1:11" ht="12.75">
      <c r="A22" s="68">
        <v>44866</v>
      </c>
      <c r="B22" s="16">
        <v>151959383.24999997</v>
      </c>
      <c r="C22" s="16">
        <v>976913.5100000002</v>
      </c>
      <c r="D22" s="63">
        <f t="shared" si="0"/>
        <v>140551259.89</v>
      </c>
      <c r="E22" s="16">
        <v>10431209.850000001</v>
      </c>
      <c r="F22" s="17">
        <v>1300</v>
      </c>
      <c r="G22" s="63">
        <f t="shared" si="1"/>
        <v>267.4669192307693</v>
      </c>
      <c r="I22" s="16">
        <v>4850512.5600000005</v>
      </c>
      <c r="J22" s="16">
        <v>1043120.9999999999</v>
      </c>
      <c r="K22" s="16">
        <v>4537576.2700000005</v>
      </c>
    </row>
    <row r="23" spans="1:11" ht="12.75">
      <c r="A23" s="68">
        <v>44896</v>
      </c>
      <c r="B23" s="16">
        <v>151277487.86999997</v>
      </c>
      <c r="C23" s="16">
        <v>986035.7400000002</v>
      </c>
      <c r="D23" s="63">
        <f t="shared" si="0"/>
        <v>139588521.74999997</v>
      </c>
      <c r="E23" s="16">
        <v>10702930.379999999</v>
      </c>
      <c r="F23" s="17">
        <v>1300</v>
      </c>
      <c r="G23" s="63">
        <f>_xlfn.IFERROR((E23/F23/31)," ")</f>
        <v>265.58139900744413</v>
      </c>
      <c r="I23" s="16">
        <v>4976862.610000001</v>
      </c>
      <c r="J23" s="16">
        <v>1070293.07</v>
      </c>
      <c r="K23" s="16">
        <v>4655774.699999999</v>
      </c>
    </row>
    <row r="24" spans="1:11" ht="12.75">
      <c r="A24" s="68">
        <v>44927</v>
      </c>
      <c r="B24" s="16">
        <v>157913868.68</v>
      </c>
      <c r="C24" s="16">
        <v>1046432.76</v>
      </c>
      <c r="D24" s="63">
        <f t="shared" si="0"/>
        <v>145835861.75000003</v>
      </c>
      <c r="E24" s="16">
        <v>11031574.17</v>
      </c>
      <c r="F24" s="17">
        <v>1300</v>
      </c>
      <c r="G24" s="63">
        <f>_xlfn.IFERROR((E24/F24/31)," ")</f>
        <v>273.73633176178663</v>
      </c>
      <c r="I24" s="16">
        <v>5129681.9799999995</v>
      </c>
      <c r="J24" s="16">
        <v>1103157.44</v>
      </c>
      <c r="K24" s="16">
        <v>4798734.75</v>
      </c>
    </row>
    <row r="25" spans="1:11" ht="12.75">
      <c r="A25" s="68">
        <v>44958</v>
      </c>
      <c r="B25" s="16">
        <v>152285817.68999997</v>
      </c>
      <c r="C25" s="16">
        <v>927423.03</v>
      </c>
      <c r="D25" s="63">
        <f t="shared" si="0"/>
        <v>140640543.40999997</v>
      </c>
      <c r="E25" s="16">
        <v>10717851.250000004</v>
      </c>
      <c r="F25" s="17">
        <v>1300</v>
      </c>
      <c r="G25" s="63">
        <f>_xlfn.IFERROR((E25/F25/28)," ")</f>
        <v>294.446462912088</v>
      </c>
      <c r="I25" s="16">
        <v>4983800.829999999</v>
      </c>
      <c r="J25" s="16">
        <v>1071785.14</v>
      </c>
      <c r="K25" s="16">
        <v>4662265.33</v>
      </c>
    </row>
    <row r="26" spans="1:11" ht="12.75">
      <c r="A26" s="68">
        <v>44986</v>
      </c>
      <c r="B26" s="16">
        <v>176155380.73000008</v>
      </c>
      <c r="C26" s="16">
        <v>1096784.0000000005</v>
      </c>
      <c r="D26" s="63">
        <f t="shared" si="0"/>
        <v>162520496.2200001</v>
      </c>
      <c r="E26" s="16">
        <v>12538100.51</v>
      </c>
      <c r="F26" s="17">
        <v>1227</v>
      </c>
      <c r="G26" s="63">
        <f>_xlfn.IFERROR((E26/F26/31)," ")</f>
        <v>329.6290588111575</v>
      </c>
      <c r="I26" s="16">
        <v>5830216.7299999995</v>
      </c>
      <c r="J26" s="16">
        <v>1253810.0800000003</v>
      </c>
      <c r="K26" s="16">
        <v>5454073.7</v>
      </c>
    </row>
    <row r="27" spans="1:11" ht="13.5" thickBot="1">
      <c r="A27" s="60" t="s">
        <v>20</v>
      </c>
      <c r="B27" s="61">
        <f>SUM(B15:B26)</f>
        <v>2040205740.3</v>
      </c>
      <c r="C27" s="61">
        <f>SUM(C15:C26)</f>
        <v>12969854.39</v>
      </c>
      <c r="D27" s="61">
        <f>SUM(D15:D26)</f>
        <v>1884716906.2299998</v>
      </c>
      <c r="E27" s="61">
        <f>SUM(E15:E26)</f>
        <v>142518979.68</v>
      </c>
      <c r="F27" s="62">
        <f>AVERAGE(F15:F26)</f>
        <v>1290.8333333333333</v>
      </c>
      <c r="G27" s="61">
        <f>AVERAGE(G15:G26)</f>
        <v>302.5931960283909</v>
      </c>
      <c r="H27" s="33"/>
      <c r="I27" s="61">
        <f>SUM(I15:I26)</f>
        <v>66271325.49999999</v>
      </c>
      <c r="J27" s="61">
        <f>SUM(J15:J26)</f>
        <v>14251898.189999998</v>
      </c>
      <c r="K27" s="61">
        <f>SUM(K15:K26)</f>
        <v>61995756.18000001</v>
      </c>
    </row>
    <row r="28" spans="2:11" ht="10.5" customHeight="1" thickTop="1">
      <c r="B28" s="19"/>
      <c r="C28" s="19"/>
      <c r="D28" s="19"/>
      <c r="E28" s="19"/>
      <c r="I28" s="19"/>
      <c r="J28" s="19"/>
      <c r="K28" s="19"/>
    </row>
    <row r="29" spans="1:11" s="22" customFormat="1" ht="12.75">
      <c r="A29" s="20"/>
      <c r="B29" s="21"/>
      <c r="C29" s="21">
        <f>_xlfn.IFERROR(C27/B27,"")</f>
        <v>0.006357130623548222</v>
      </c>
      <c r="D29" s="21">
        <f>_xlfn.IFERROR(D27/B27,"")</f>
        <v>0.9237876695479073</v>
      </c>
      <c r="E29" s="21">
        <f>_xlfn.IFERROR(E27/B27,"")</f>
        <v>0.06985519982854448</v>
      </c>
      <c r="I29" s="21">
        <f>_xlfn.IFERROR(I27/$E$27,"")</f>
        <v>0.4649999996407495</v>
      </c>
      <c r="J29" s="21">
        <f>_xlfn.IFERROR(J27/$E$27,"")</f>
        <v>0.10000000155768725</v>
      </c>
      <c r="K29" s="21">
        <f>_xlfn.IFERROR(K27/$E$27,"")</f>
        <v>0.4350000001347189</v>
      </c>
    </row>
    <row r="31" spans="1:11" s="23" customFormat="1" ht="12.75">
      <c r="A31" s="74" t="s">
        <v>21</v>
      </c>
      <c r="B31" s="75"/>
      <c r="C31" s="75"/>
      <c r="D31" s="75"/>
      <c r="E31" s="75"/>
      <c r="F31" s="75"/>
      <c r="G31" s="75"/>
      <c r="H31" s="75"/>
      <c r="I31" s="75"/>
      <c r="J31" s="75"/>
      <c r="K31" s="75"/>
    </row>
    <row r="32" ht="12.75">
      <c r="A32" s="24"/>
    </row>
    <row r="33" spans="1:11" s="46" customFormat="1" ht="12.75" customHeight="1">
      <c r="A33" s="42" t="s">
        <v>22</v>
      </c>
      <c r="B33" s="43"/>
      <c r="C33" s="44" t="s">
        <v>97</v>
      </c>
      <c r="D33" s="45"/>
      <c r="E33" s="45"/>
      <c r="F33" s="45"/>
      <c r="G33" s="45"/>
      <c r="H33" s="45"/>
      <c r="I33" s="45"/>
      <c r="J33" s="45"/>
      <c r="K33" s="45"/>
    </row>
    <row r="34" spans="1:11" s="46" customFormat="1" ht="12.75" customHeight="1">
      <c r="A34" s="42"/>
      <c r="B34" s="43"/>
      <c r="C34" s="44" t="s">
        <v>98</v>
      </c>
      <c r="D34" s="45"/>
      <c r="E34" s="45"/>
      <c r="F34" s="45"/>
      <c r="G34" s="45"/>
      <c r="H34" s="45"/>
      <c r="I34" s="45"/>
      <c r="J34" s="45"/>
      <c r="K34" s="45"/>
    </row>
    <row r="35" spans="1:11" s="46" customFormat="1" ht="6" customHeight="1">
      <c r="A35" s="42"/>
      <c r="B35" s="43"/>
      <c r="C35" s="44"/>
      <c r="E35" s="45"/>
      <c r="F35" s="45"/>
      <c r="G35" s="45"/>
      <c r="H35" s="45"/>
      <c r="I35" s="45"/>
      <c r="J35" s="45"/>
      <c r="K35" s="45"/>
    </row>
    <row r="36" spans="1:11" ht="12.75">
      <c r="A36" s="25" t="s">
        <v>100</v>
      </c>
      <c r="B36" s="26"/>
      <c r="C36" s="26" t="s">
        <v>89</v>
      </c>
      <c r="F36" s="26"/>
      <c r="G36" s="26"/>
      <c r="H36" s="26"/>
      <c r="I36" s="26"/>
      <c r="J36" s="26"/>
      <c r="K36" s="26"/>
    </row>
    <row r="37" spans="1:11" s="46" customFormat="1" ht="6" customHeight="1">
      <c r="A37" s="42"/>
      <c r="B37" s="43"/>
      <c r="C37" s="43"/>
      <c r="D37" s="44"/>
      <c r="E37" s="47"/>
      <c r="F37" s="44"/>
      <c r="G37" s="44"/>
      <c r="H37" s="44"/>
      <c r="I37" s="44"/>
      <c r="J37" s="43"/>
      <c r="K37" s="43"/>
    </row>
    <row r="38" spans="1:11" s="46" customFormat="1" ht="12.75">
      <c r="A38" s="42" t="s">
        <v>23</v>
      </c>
      <c r="B38" s="43"/>
      <c r="C38" s="44" t="s">
        <v>104</v>
      </c>
      <c r="E38" s="47"/>
      <c r="F38" s="44"/>
      <c r="G38" s="44"/>
      <c r="H38" s="44"/>
      <c r="I38" s="44"/>
      <c r="J38" s="43"/>
      <c r="K38" s="43"/>
    </row>
    <row r="39" spans="1:11" s="46" customFormat="1" ht="6" customHeight="1">
      <c r="A39" s="42"/>
      <c r="B39" s="43"/>
      <c r="C39" s="43"/>
      <c r="D39" s="44"/>
      <c r="E39" s="47"/>
      <c r="F39" s="44"/>
      <c r="G39" s="44"/>
      <c r="H39" s="44"/>
      <c r="I39" s="44"/>
      <c r="J39" s="43"/>
      <c r="K39" s="43"/>
    </row>
    <row r="40" spans="1:11" s="46" customFormat="1" ht="12.75">
      <c r="A40" s="42" t="s">
        <v>25</v>
      </c>
      <c r="B40" s="43"/>
      <c r="C40" s="43" t="s">
        <v>58</v>
      </c>
      <c r="E40" s="47"/>
      <c r="F40" s="48"/>
      <c r="G40" s="43"/>
      <c r="H40" s="43"/>
      <c r="I40" s="43"/>
      <c r="J40" s="43"/>
      <c r="K40" s="43"/>
    </row>
    <row r="41" spans="1:11" s="46" customFormat="1" ht="12.75">
      <c r="A41" s="42"/>
      <c r="B41" s="43"/>
      <c r="C41" s="43" t="s">
        <v>59</v>
      </c>
      <c r="E41" s="47"/>
      <c r="F41" s="48"/>
      <c r="G41" s="43"/>
      <c r="H41" s="43"/>
      <c r="I41" s="43"/>
      <c r="J41" s="43"/>
      <c r="K41" s="43"/>
    </row>
    <row r="42" spans="1:11" s="46" customFormat="1" ht="6" customHeight="1">
      <c r="A42" s="42"/>
      <c r="B42" s="43"/>
      <c r="C42" s="43"/>
      <c r="D42" s="43"/>
      <c r="E42" s="47"/>
      <c r="F42" s="48"/>
      <c r="G42" s="43"/>
      <c r="H42" s="43"/>
      <c r="I42" s="43"/>
      <c r="J42" s="43"/>
      <c r="K42" s="43"/>
    </row>
    <row r="43" spans="1:11" s="46" customFormat="1" ht="12.75">
      <c r="A43" s="42" t="s">
        <v>28</v>
      </c>
      <c r="B43" s="43"/>
      <c r="C43" s="43" t="s">
        <v>29</v>
      </c>
      <c r="E43" s="47"/>
      <c r="F43" s="48"/>
      <c r="G43" s="43"/>
      <c r="H43" s="43"/>
      <c r="I43" s="43"/>
      <c r="J43" s="43"/>
      <c r="K43" s="43"/>
    </row>
    <row r="44" spans="1:11" s="46" customFormat="1" ht="6" customHeight="1">
      <c r="A44" s="42"/>
      <c r="B44" s="43"/>
      <c r="C44" s="43"/>
      <c r="D44" s="43"/>
      <c r="E44" s="47"/>
      <c r="F44" s="48"/>
      <c r="G44" s="43"/>
      <c r="H44" s="43"/>
      <c r="I44" s="43"/>
      <c r="J44" s="43"/>
      <c r="K44" s="43"/>
    </row>
    <row r="45" spans="1:11" s="46" customFormat="1" ht="12.75">
      <c r="A45" s="42" t="s">
        <v>76</v>
      </c>
      <c r="B45" s="43"/>
      <c r="C45" s="43" t="s">
        <v>79</v>
      </c>
      <c r="D45" s="47"/>
      <c r="E45" s="48"/>
      <c r="F45" s="43"/>
      <c r="G45" s="43"/>
      <c r="H45" s="43"/>
      <c r="I45" s="43"/>
      <c r="J45" s="43"/>
      <c r="K45" s="43"/>
    </row>
    <row r="46" spans="1:11" s="46" customFormat="1" ht="12.75">
      <c r="A46" s="42"/>
      <c r="B46" s="43"/>
      <c r="C46" s="43" t="s">
        <v>86</v>
      </c>
      <c r="D46" s="47"/>
      <c r="E46" s="48"/>
      <c r="F46" s="43"/>
      <c r="G46" s="43"/>
      <c r="H46" s="43"/>
      <c r="I46" s="43"/>
      <c r="J46" s="43"/>
      <c r="K46" s="43"/>
    </row>
    <row r="47" spans="1:11" s="46" customFormat="1" ht="12.75">
      <c r="A47" s="42"/>
      <c r="B47" s="43"/>
      <c r="C47" s="43" t="s">
        <v>87</v>
      </c>
      <c r="D47" s="47"/>
      <c r="E47" s="48"/>
      <c r="F47" s="43"/>
      <c r="G47" s="43"/>
      <c r="H47" s="43"/>
      <c r="I47" s="43"/>
      <c r="J47" s="43"/>
      <c r="K47" s="43"/>
    </row>
    <row r="48" spans="1:11" s="46" customFormat="1" ht="6" customHeight="1">
      <c r="A48" s="42"/>
      <c r="B48" s="43"/>
      <c r="C48" s="43"/>
      <c r="E48" s="47"/>
      <c r="F48" s="48"/>
      <c r="G48" s="43"/>
      <c r="H48" s="43"/>
      <c r="I48" s="43"/>
      <c r="J48" s="43"/>
      <c r="K48" s="43"/>
    </row>
    <row r="49" spans="1:11" s="46" customFormat="1" ht="12.75">
      <c r="A49" s="42" t="s">
        <v>88</v>
      </c>
      <c r="B49" s="43"/>
      <c r="C49" s="43" t="s">
        <v>81</v>
      </c>
      <c r="D49" s="47"/>
      <c r="E49" s="48"/>
      <c r="F49" s="43"/>
      <c r="G49" s="43"/>
      <c r="H49" s="43"/>
      <c r="I49" s="43"/>
      <c r="J49" s="43"/>
      <c r="K49" s="43"/>
    </row>
    <row r="50" spans="1:11" s="46" customFormat="1" ht="12.75">
      <c r="A50" s="49"/>
      <c r="B50" s="43"/>
      <c r="C50" s="43" t="s">
        <v>82</v>
      </c>
      <c r="D50" s="47"/>
      <c r="E50" s="48"/>
      <c r="F50" s="43"/>
      <c r="G50" s="43"/>
      <c r="H50" s="43"/>
      <c r="I50" s="43"/>
      <c r="J50" s="43"/>
      <c r="K50" s="43"/>
    </row>
    <row r="51" spans="1:11" s="46" customFormat="1" ht="3" customHeight="1">
      <c r="A51" s="42"/>
      <c r="B51" s="43"/>
      <c r="C51" s="43"/>
      <c r="D51" s="67"/>
      <c r="E51" s="48"/>
      <c r="F51" s="43"/>
      <c r="G51" s="43"/>
      <c r="H51" s="43"/>
      <c r="I51" s="43"/>
      <c r="J51" s="43"/>
      <c r="K51" s="43"/>
    </row>
    <row r="52" spans="1:11" s="46" customFormat="1" ht="12.75" customHeight="1">
      <c r="A52" s="42"/>
      <c r="B52" s="43"/>
      <c r="C52" s="44" t="s">
        <v>123</v>
      </c>
      <c r="D52" s="44"/>
      <c r="E52" s="44"/>
      <c r="F52" s="44"/>
      <c r="G52" s="44"/>
      <c r="H52" s="44"/>
      <c r="I52" s="44"/>
      <c r="J52" s="44"/>
      <c r="K52" s="44"/>
    </row>
    <row r="53" spans="1:11" s="46" customFormat="1" ht="12.75">
      <c r="A53" s="42"/>
      <c r="B53" s="43"/>
      <c r="C53" s="44" t="s">
        <v>124</v>
      </c>
      <c r="D53" s="44"/>
      <c r="E53" s="44"/>
      <c r="F53" s="44"/>
      <c r="G53" s="44"/>
      <c r="H53" s="44"/>
      <c r="I53" s="44"/>
      <c r="J53" s="44"/>
      <c r="K53" s="44"/>
    </row>
    <row r="54" spans="1:11" s="46" customFormat="1" ht="12.75">
      <c r="A54" s="42"/>
      <c r="B54" s="43"/>
      <c r="C54" s="44" t="s">
        <v>125</v>
      </c>
      <c r="D54" s="44"/>
      <c r="E54" s="44"/>
      <c r="F54" s="44"/>
      <c r="G54" s="44"/>
      <c r="H54" s="44"/>
      <c r="I54" s="44"/>
      <c r="J54" s="44"/>
      <c r="K54" s="44"/>
    </row>
    <row r="55" spans="1:11" s="46" customFormat="1" ht="6" customHeight="1">
      <c r="A55" s="49"/>
      <c r="B55" s="43"/>
      <c r="C55" s="43"/>
      <c r="E55" s="47"/>
      <c r="F55" s="48"/>
      <c r="G55" s="43"/>
      <c r="H55" s="43"/>
      <c r="I55" s="43"/>
      <c r="J55" s="43"/>
      <c r="K55" s="43"/>
    </row>
    <row r="56" spans="1:11" s="46" customFormat="1" ht="12.75">
      <c r="A56" s="42" t="s">
        <v>115</v>
      </c>
      <c r="B56" s="16"/>
      <c r="C56" s="65" t="s">
        <v>126</v>
      </c>
      <c r="D56" s="16"/>
      <c r="E56" s="16"/>
      <c r="F56" s="17"/>
      <c r="G56" s="16"/>
      <c r="H56" s="16"/>
      <c r="I56" s="16"/>
      <c r="J56" s="16"/>
      <c r="K56" s="16"/>
    </row>
    <row r="57" spans="1:11" s="46" customFormat="1" ht="12.75">
      <c r="A57" s="3"/>
      <c r="B57" s="16"/>
      <c r="C57" s="66"/>
      <c r="D57" s="16"/>
      <c r="E57" s="16"/>
      <c r="F57" s="17"/>
      <c r="G57" s="16"/>
      <c r="H57" s="16"/>
      <c r="I57" s="16"/>
      <c r="J57" s="16"/>
      <c r="K57" s="16"/>
    </row>
    <row r="58" spans="1:11" ht="12.75">
      <c r="A58" s="29"/>
      <c r="B58" s="30"/>
      <c r="C58" s="30"/>
      <c r="D58" s="26"/>
      <c r="E58" s="30"/>
      <c r="F58" s="31"/>
      <c r="G58" s="30"/>
      <c r="H58" s="30"/>
      <c r="I58" s="30"/>
      <c r="J58" s="30"/>
      <c r="K58" s="30"/>
    </row>
    <row r="59" spans="1:11" s="23" customFormat="1" ht="12.75">
      <c r="A59" s="74" t="s">
        <v>31</v>
      </c>
      <c r="B59" s="75"/>
      <c r="C59" s="75"/>
      <c r="D59" s="75"/>
      <c r="E59" s="75"/>
      <c r="F59" s="75"/>
      <c r="G59" s="75"/>
      <c r="H59" s="75"/>
      <c r="I59" s="75"/>
      <c r="J59" s="75"/>
      <c r="K59" s="75"/>
    </row>
    <row r="60" ht="12.75">
      <c r="A60" s="24"/>
    </row>
    <row r="61" spans="1:9" ht="13.5">
      <c r="A61" s="32"/>
      <c r="D61" s="10" t="s">
        <v>9</v>
      </c>
      <c r="E61" s="54" t="s">
        <v>84</v>
      </c>
      <c r="F61" s="76" t="s">
        <v>90</v>
      </c>
      <c r="G61" s="76"/>
      <c r="H61" s="76"/>
      <c r="I61" s="76"/>
    </row>
    <row r="62" spans="1:9" ht="12.75">
      <c r="A62" s="35"/>
      <c r="D62" s="8" t="s">
        <v>17</v>
      </c>
      <c r="E62" s="55" t="s">
        <v>85</v>
      </c>
      <c r="F62" s="8" t="s">
        <v>91</v>
      </c>
      <c r="G62" s="56" t="s">
        <v>92</v>
      </c>
      <c r="H62" s="36"/>
      <c r="I62" s="8" t="s">
        <v>93</v>
      </c>
    </row>
    <row r="63" spans="2:9" ht="12.75">
      <c r="B63" s="39"/>
      <c r="C63" s="39"/>
      <c r="D63" s="57">
        <v>0.465</v>
      </c>
      <c r="E63" s="57">
        <v>0.1</v>
      </c>
      <c r="F63" s="57">
        <v>0.335</v>
      </c>
      <c r="G63" s="58">
        <v>0.0875</v>
      </c>
      <c r="H63" s="59"/>
      <c r="I63" s="57">
        <v>0.0125</v>
      </c>
    </row>
    <row r="64" spans="2:11" ht="12.75">
      <c r="B64" s="39"/>
      <c r="C64" s="39"/>
      <c r="D64" s="39"/>
      <c r="E64" s="26"/>
      <c r="F64" s="27"/>
      <c r="G64" s="40"/>
      <c r="H64" s="26"/>
      <c r="I64" s="40"/>
      <c r="J64" s="40"/>
      <c r="K64" s="40"/>
    </row>
    <row r="65" spans="1:11" s="23" customFormat="1" ht="12.75">
      <c r="A65" s="77" t="s">
        <v>41</v>
      </c>
      <c r="B65" s="78"/>
      <c r="C65" s="78"/>
      <c r="D65" s="78"/>
      <c r="E65" s="78"/>
      <c r="F65" s="78"/>
      <c r="G65" s="78"/>
      <c r="H65" s="78"/>
      <c r="I65" s="78"/>
      <c r="J65" s="78"/>
      <c r="K65" s="78"/>
    </row>
    <row r="66" spans="1:6" ht="12.75">
      <c r="A66" s="24"/>
      <c r="E66"/>
      <c r="F66" s="16"/>
    </row>
    <row r="67" spans="1:11" ht="54.75" customHeight="1">
      <c r="A67" s="79" t="s">
        <v>132</v>
      </c>
      <c r="B67" s="80"/>
      <c r="C67" s="80"/>
      <c r="D67" s="80"/>
      <c r="E67" s="80"/>
      <c r="F67" s="80"/>
      <c r="G67" s="80"/>
      <c r="H67" s="80"/>
      <c r="I67" s="80"/>
      <c r="J67" s="80"/>
      <c r="K67" s="80"/>
    </row>
    <row r="68" spans="1:6" ht="12.75">
      <c r="A68" s="16"/>
      <c r="E68"/>
      <c r="F68" s="16"/>
    </row>
    <row r="69" spans="2:5" ht="12.75">
      <c r="B69" s="24" t="s">
        <v>42</v>
      </c>
      <c r="C69" s="24"/>
      <c r="D69" s="24"/>
      <c r="E69" s="16">
        <v>2325592</v>
      </c>
    </row>
    <row r="70" spans="2:5" ht="12.75">
      <c r="B70" s="24" t="s">
        <v>43</v>
      </c>
      <c r="C70" s="24"/>
      <c r="D70" s="24"/>
      <c r="E70" s="16">
        <v>775198</v>
      </c>
    </row>
    <row r="71" spans="2:5" ht="12.75">
      <c r="B71" s="16" t="s">
        <v>32</v>
      </c>
      <c r="D71" s="16" t="s">
        <v>32</v>
      </c>
      <c r="E71" s="16" t="s">
        <v>32</v>
      </c>
    </row>
    <row r="72" ht="12.75">
      <c r="E72" s="16" t="s">
        <v>32</v>
      </c>
    </row>
    <row r="73" ht="12.75">
      <c r="A73" s="28" t="s">
        <v>101</v>
      </c>
    </row>
  </sheetData>
  <sheetProtection/>
  <mergeCells count="12">
    <mergeCell ref="A1:K1"/>
    <mergeCell ref="A2:K2"/>
    <mergeCell ref="A3:K3"/>
    <mergeCell ref="A4:K4"/>
    <mergeCell ref="A5:K5"/>
    <mergeCell ref="A8:K8"/>
    <mergeCell ref="I10:K10"/>
    <mergeCell ref="A31:K31"/>
    <mergeCell ref="A59:K59"/>
    <mergeCell ref="F61:I61"/>
    <mergeCell ref="A65:K65"/>
    <mergeCell ref="A67:K67"/>
  </mergeCells>
  <hyperlinks>
    <hyperlink ref="A4" r:id="rId1" display="www.saratogacasino.com"/>
  </hyperlinks>
  <printOptions horizontalCentered="1"/>
  <pageMargins left="0.25" right="0.25" top="0.75" bottom="0.5" header="0.5" footer="0.5"/>
  <pageSetup fitToHeight="1" fitToWidth="1" horizontalDpi="600" verticalDpi="600" orientation="portrait" scale="78" r:id="rId3"/>
  <ignoredErrors>
    <ignoredError sqref="G16:G25" formula="1"/>
  </ignoredErrors>
  <drawing r:id="rId2"/>
</worksheet>
</file>

<file path=xl/worksheets/sheet20.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5.28125" style="16" customWidth="1"/>
    <col min="12" max="12" width="12.7109375" style="0" customWidth="1"/>
  </cols>
  <sheetData>
    <row r="1" spans="1:11" ht="18">
      <c r="A1" s="70" t="s">
        <v>0</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4.25">
      <c r="A4" s="83" t="s">
        <v>3</v>
      </c>
      <c r="B4" s="83"/>
      <c r="C4" s="83"/>
      <c r="D4" s="83"/>
      <c r="E4" s="83"/>
      <c r="F4" s="83"/>
      <c r="G4" s="83"/>
      <c r="H4" s="83"/>
      <c r="I4" s="83"/>
      <c r="J4" s="83"/>
      <c r="K4" s="83"/>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74" t="s">
        <v>69</v>
      </c>
      <c r="B8" s="75"/>
      <c r="C8" s="75"/>
      <c r="D8" s="75"/>
      <c r="E8" s="75"/>
      <c r="F8" s="75"/>
      <c r="G8" s="75"/>
      <c r="H8" s="75"/>
      <c r="I8" s="75"/>
      <c r="J8" s="75"/>
      <c r="K8" s="81"/>
    </row>
    <row r="9" spans="1:11" s="1" customFormat="1" ht="9" customHeight="1">
      <c r="A9" s="3"/>
      <c r="B9" s="4"/>
      <c r="C9" s="4"/>
      <c r="D9" s="5"/>
      <c r="E9" s="6"/>
      <c r="F9" s="5"/>
      <c r="G9" s="5"/>
      <c r="H9" s="5"/>
      <c r="I9" s="5"/>
      <c r="J9" s="5"/>
      <c r="K9" s="5"/>
    </row>
    <row r="10" spans="1:11" s="1" customFormat="1" ht="12.75">
      <c r="A10" s="3"/>
      <c r="B10" s="5"/>
      <c r="C10" s="5"/>
      <c r="D10" s="5"/>
      <c r="E10" s="6"/>
      <c r="F10" s="5"/>
      <c r="G10" s="5"/>
      <c r="H10" s="76" t="s">
        <v>5</v>
      </c>
      <c r="I10" s="76"/>
      <c r="J10" s="76"/>
      <c r="K10" s="76"/>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38078</v>
      </c>
      <c r="B15" s="16">
        <v>84637887.36999999</v>
      </c>
      <c r="C15" s="16">
        <f aca="true" t="shared" si="0" ref="C15:C26">B15-D15</f>
        <v>78247957.33999999</v>
      </c>
      <c r="D15" s="16">
        <v>6389930.029999999</v>
      </c>
      <c r="E15" s="17">
        <f>39720/30</f>
        <v>1324</v>
      </c>
      <c r="F15" s="16">
        <v>160.8743713494461</v>
      </c>
      <c r="H15" s="16">
        <v>3897857.3183</v>
      </c>
      <c r="I15" s="16">
        <f aca="true" t="shared" si="1" ref="I15:I26">D15*0.29</f>
        <v>1853079.7086999996</v>
      </c>
      <c r="J15" s="16">
        <v>0</v>
      </c>
      <c r="K15" s="16">
        <f aca="true" t="shared" si="2" ref="K15:K26">D15*0.1</f>
        <v>638993.003</v>
      </c>
    </row>
    <row r="16" spans="1:11" ht="12.75">
      <c r="A16" s="3">
        <v>38108</v>
      </c>
      <c r="B16" s="16">
        <v>90384539.37</v>
      </c>
      <c r="C16" s="16">
        <f t="shared" si="0"/>
        <v>83312378.59</v>
      </c>
      <c r="D16" s="16">
        <v>7072160.780000001</v>
      </c>
      <c r="E16" s="17">
        <f>41044/31</f>
        <v>1324</v>
      </c>
      <c r="F16" s="16">
        <v>172.3068117142579</v>
      </c>
      <c r="H16" s="16">
        <v>4314018.0758</v>
      </c>
      <c r="I16" s="16">
        <f t="shared" si="1"/>
        <v>2050926.6262000003</v>
      </c>
      <c r="J16" s="16">
        <v>0</v>
      </c>
      <c r="K16" s="16">
        <f t="shared" si="2"/>
        <v>707216.0780000002</v>
      </c>
    </row>
    <row r="17" spans="1:11" ht="12.75">
      <c r="A17" s="3">
        <v>38139</v>
      </c>
      <c r="B17" s="16">
        <v>86568777.63</v>
      </c>
      <c r="C17" s="16">
        <f t="shared" si="0"/>
        <v>79582293.14</v>
      </c>
      <c r="D17" s="16">
        <v>6986484.49</v>
      </c>
      <c r="E17" s="17">
        <f>39720/30</f>
        <v>1324</v>
      </c>
      <c r="F17" s="16">
        <v>175.89336581067474</v>
      </c>
      <c r="H17" s="16">
        <v>4261755.5389</v>
      </c>
      <c r="I17" s="16">
        <f t="shared" si="1"/>
        <v>2026080.5021</v>
      </c>
      <c r="J17" s="16">
        <v>0</v>
      </c>
      <c r="K17" s="16">
        <f t="shared" si="2"/>
        <v>698648.449</v>
      </c>
    </row>
    <row r="18" spans="1:11" ht="12.75">
      <c r="A18" s="3">
        <v>38169</v>
      </c>
      <c r="B18" s="16">
        <v>97184432.08000001</v>
      </c>
      <c r="C18" s="16">
        <f t="shared" si="0"/>
        <v>89212593.54</v>
      </c>
      <c r="D18" s="16">
        <v>7971838.540000001</v>
      </c>
      <c r="E18" s="17">
        <f>41044/31</f>
        <v>1324</v>
      </c>
      <c r="F18" s="16">
        <v>194.2266479875256</v>
      </c>
      <c r="H18" s="16">
        <v>4862821.5094</v>
      </c>
      <c r="I18" s="16">
        <f t="shared" si="1"/>
        <v>2311833.1766</v>
      </c>
      <c r="J18" s="16">
        <v>0</v>
      </c>
      <c r="K18" s="16">
        <f t="shared" si="2"/>
        <v>797183.8540000002</v>
      </c>
    </row>
    <row r="19" spans="1:11" ht="12.75">
      <c r="A19" s="3">
        <v>38200</v>
      </c>
      <c r="B19" s="16">
        <v>104319585.90000002</v>
      </c>
      <c r="C19" s="16">
        <f t="shared" si="0"/>
        <v>95899325.16000003</v>
      </c>
      <c r="D19" s="16">
        <v>8420260.74</v>
      </c>
      <c r="E19" s="17">
        <f>41044/31</f>
        <v>1324</v>
      </c>
      <c r="F19" s="16">
        <v>205.1520499951272</v>
      </c>
      <c r="H19" s="16">
        <v>5136359.0514</v>
      </c>
      <c r="I19" s="16">
        <f t="shared" si="1"/>
        <v>2441875.6146</v>
      </c>
      <c r="J19" s="16">
        <v>0</v>
      </c>
      <c r="K19" s="16">
        <f t="shared" si="2"/>
        <v>842026.074</v>
      </c>
    </row>
    <row r="20" spans="1:11" ht="12.75">
      <c r="A20" s="3">
        <v>38231</v>
      </c>
      <c r="B20" s="16">
        <v>94284674.05000003</v>
      </c>
      <c r="C20" s="16">
        <f t="shared" si="0"/>
        <v>86850360.51000002</v>
      </c>
      <c r="D20" s="16">
        <v>7434313.539999999</v>
      </c>
      <c r="E20" s="17">
        <f>39720/30</f>
        <v>1324</v>
      </c>
      <c r="F20" s="16">
        <v>187.1680146022155</v>
      </c>
      <c r="H20" s="16">
        <v>4534931.259399999</v>
      </c>
      <c r="I20" s="16">
        <f t="shared" si="1"/>
        <v>2155950.9265999994</v>
      </c>
      <c r="J20" s="16">
        <v>0</v>
      </c>
      <c r="K20" s="16">
        <f t="shared" si="2"/>
        <v>743431.3539999999</v>
      </c>
    </row>
    <row r="21" spans="1:11" ht="12.75">
      <c r="A21" s="3">
        <v>38261</v>
      </c>
      <c r="B21" s="16">
        <v>93545292.05</v>
      </c>
      <c r="C21" s="16">
        <f t="shared" si="0"/>
        <v>85994507.62</v>
      </c>
      <c r="D21" s="16">
        <v>7550784.43</v>
      </c>
      <c r="E21" s="17">
        <f>41044/31</f>
        <v>1324</v>
      </c>
      <c r="F21" s="16">
        <v>183.9680447812104</v>
      </c>
      <c r="H21" s="16">
        <v>4605978.502299999</v>
      </c>
      <c r="I21" s="16">
        <f t="shared" si="1"/>
        <v>2189727.4847</v>
      </c>
      <c r="J21" s="16">
        <v>0</v>
      </c>
      <c r="K21" s="16">
        <f t="shared" si="2"/>
        <v>755078.443</v>
      </c>
    </row>
    <row r="22" spans="1:11" ht="12.75">
      <c r="A22" s="3">
        <v>38292</v>
      </c>
      <c r="B22" s="16">
        <v>83748202.69</v>
      </c>
      <c r="C22" s="16">
        <f t="shared" si="0"/>
        <v>77235541.77</v>
      </c>
      <c r="D22" s="16">
        <v>6512660.920000001</v>
      </c>
      <c r="E22" s="17">
        <f>39720/30</f>
        <v>1324</v>
      </c>
      <c r="F22" s="16">
        <v>163.96427291037264</v>
      </c>
      <c r="H22" s="16">
        <v>3972723.1612</v>
      </c>
      <c r="I22" s="16">
        <f t="shared" si="1"/>
        <v>1888671.6668</v>
      </c>
      <c r="J22" s="16">
        <v>0</v>
      </c>
      <c r="K22" s="16">
        <f t="shared" si="2"/>
        <v>651266.0920000002</v>
      </c>
    </row>
    <row r="23" spans="1:11" ht="12.75">
      <c r="A23" s="3">
        <v>38322</v>
      </c>
      <c r="B23" s="16">
        <v>81674529.41000001</v>
      </c>
      <c r="C23" s="16">
        <f t="shared" si="0"/>
        <v>75340512.96000001</v>
      </c>
      <c r="D23" s="16">
        <v>6334016.450000002</v>
      </c>
      <c r="E23" s="17">
        <f>41044/31</f>
        <v>1324</v>
      </c>
      <c r="F23" s="16">
        <v>154.32259160900503</v>
      </c>
      <c r="H23" s="16">
        <v>3863750.034500001</v>
      </c>
      <c r="I23" s="16">
        <f t="shared" si="1"/>
        <v>1836864.7705000006</v>
      </c>
      <c r="J23" s="16">
        <v>0</v>
      </c>
      <c r="K23" s="16">
        <f t="shared" si="2"/>
        <v>633401.6450000003</v>
      </c>
    </row>
    <row r="24" spans="1:11" ht="12.75">
      <c r="A24" s="3">
        <v>38353</v>
      </c>
      <c r="B24" s="16">
        <v>88080812.36000001</v>
      </c>
      <c r="C24" s="16">
        <f t="shared" si="0"/>
        <v>80999591.72000001</v>
      </c>
      <c r="D24" s="16">
        <v>7081220.639999999</v>
      </c>
      <c r="E24" s="17">
        <f>41044/31</f>
        <v>1324</v>
      </c>
      <c r="F24" s="16">
        <v>172.5275470227073</v>
      </c>
      <c r="H24" s="16">
        <v>4319544.5904</v>
      </c>
      <c r="I24" s="16">
        <f t="shared" si="1"/>
        <v>2053553.9855999995</v>
      </c>
      <c r="J24" s="16">
        <v>0</v>
      </c>
      <c r="K24" s="16">
        <f t="shared" si="2"/>
        <v>708122.0639999999</v>
      </c>
    </row>
    <row r="25" spans="1:11" ht="12.75">
      <c r="A25" s="3">
        <v>38384</v>
      </c>
      <c r="B25" s="16">
        <v>94692555.63000003</v>
      </c>
      <c r="C25" s="16">
        <f t="shared" si="0"/>
        <v>87225379.51000002</v>
      </c>
      <c r="D25" s="16">
        <v>7467176.119999999</v>
      </c>
      <c r="E25" s="17">
        <f>37072/28</f>
        <v>1324</v>
      </c>
      <c r="F25" s="16">
        <v>201.42361135088476</v>
      </c>
      <c r="H25" s="16">
        <v>4554977.4332</v>
      </c>
      <c r="I25" s="16">
        <f t="shared" si="1"/>
        <v>2165481.0747999996</v>
      </c>
      <c r="J25" s="16">
        <v>0</v>
      </c>
      <c r="K25" s="16">
        <f t="shared" si="2"/>
        <v>746717.612</v>
      </c>
    </row>
    <row r="26" spans="1:11" ht="12.75">
      <c r="A26" s="3">
        <v>38412</v>
      </c>
      <c r="B26" s="16">
        <v>105568619.58</v>
      </c>
      <c r="C26" s="16">
        <f t="shared" si="0"/>
        <v>97229604.92999999</v>
      </c>
      <c r="D26" s="16">
        <v>8339014.649999999</v>
      </c>
      <c r="E26" s="17">
        <f>41044/31</f>
        <v>1324</v>
      </c>
      <c r="F26" s="16">
        <v>203.17256237208846</v>
      </c>
      <c r="H26" s="16">
        <v>5086798.9365</v>
      </c>
      <c r="I26" s="16">
        <f t="shared" si="1"/>
        <v>2418314.2484999998</v>
      </c>
      <c r="J26" s="16">
        <v>0</v>
      </c>
      <c r="K26" s="16">
        <f t="shared" si="2"/>
        <v>833901.465</v>
      </c>
    </row>
    <row r="27" spans="1:11" ht="13.5" thickBot="1">
      <c r="A27" s="3" t="s">
        <v>20</v>
      </c>
      <c r="B27" s="18">
        <f>SUM(B15:B26)</f>
        <v>1104689908.1200001</v>
      </c>
      <c r="C27" s="18">
        <f>SUM(C15:C26)</f>
        <v>1017130046.7900001</v>
      </c>
      <c r="D27" s="18">
        <f>SUM(D15:D26)</f>
        <v>87559861.33000001</v>
      </c>
      <c r="H27" s="18">
        <f>SUM(H15:H26)</f>
        <v>53411515.4113</v>
      </c>
      <c r="I27" s="18">
        <f>SUM(I15:I26)</f>
        <v>25392359.7857</v>
      </c>
      <c r="J27" s="18">
        <f>SUM(J15:J26)</f>
        <v>0</v>
      </c>
      <c r="K27" s="18">
        <f>SUM(K15:K26)</f>
        <v>8755986.133000001</v>
      </c>
    </row>
    <row r="28" spans="2:11" ht="10.5" customHeight="1" thickTop="1">
      <c r="B28" s="19"/>
      <c r="C28" s="19"/>
      <c r="D28" s="19"/>
      <c r="H28" s="19"/>
      <c r="I28" s="19"/>
      <c r="J28" s="19"/>
      <c r="K28" s="19"/>
    </row>
    <row r="29" spans="1:11" s="22" customFormat="1" ht="12.75">
      <c r="A29" s="20"/>
      <c r="B29" s="21"/>
      <c r="C29" s="21">
        <f>C27/B27</f>
        <v>0.9207380635177409</v>
      </c>
      <c r="D29" s="21">
        <f>D27/B27</f>
        <v>0.07926193648225903</v>
      </c>
      <c r="H29" s="21">
        <f>H27/$D$27</f>
        <v>0.61</v>
      </c>
      <c r="I29" s="21">
        <f>I27/$D$27</f>
        <v>0.29</v>
      </c>
      <c r="J29" s="21">
        <f>J27/$D$27</f>
        <v>0</v>
      </c>
      <c r="K29" s="21">
        <f>K27/$D$27</f>
        <v>0.1</v>
      </c>
    </row>
    <row r="31" spans="1:11" s="23" customFormat="1" ht="12.75">
      <c r="A31" s="74" t="s">
        <v>21</v>
      </c>
      <c r="B31" s="75"/>
      <c r="C31" s="75"/>
      <c r="D31" s="75"/>
      <c r="E31" s="75"/>
      <c r="F31" s="75"/>
      <c r="G31" s="75"/>
      <c r="H31" s="75"/>
      <c r="I31" s="75"/>
      <c r="J31" s="75"/>
      <c r="K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1" ht="6" customHeight="1">
      <c r="A46" s="25"/>
      <c r="B46" s="26"/>
      <c r="C46" s="26"/>
      <c r="E46" s="27"/>
      <c r="F46" s="26"/>
      <c r="G46" s="26"/>
      <c r="H46" s="26"/>
      <c r="I46" s="26"/>
      <c r="J46" s="26"/>
      <c r="K46" s="26"/>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1" ht="6" customHeight="1">
      <c r="A49" s="25"/>
      <c r="B49" s="26"/>
      <c r="C49" s="26"/>
      <c r="E49" s="27"/>
      <c r="F49" s="26"/>
      <c r="G49" s="26"/>
      <c r="H49" s="26"/>
      <c r="I49" s="26"/>
      <c r="J49" s="26"/>
      <c r="K49" s="26"/>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1" ht="12.75">
      <c r="A52" s="29"/>
      <c r="B52" s="30"/>
      <c r="C52" s="30"/>
      <c r="D52" s="30"/>
      <c r="E52" s="31"/>
      <c r="F52" s="30"/>
      <c r="G52" s="30"/>
      <c r="H52" s="30"/>
      <c r="I52" s="30"/>
      <c r="J52" s="30"/>
      <c r="K52" s="30"/>
    </row>
    <row r="53" spans="1:11" s="23" customFormat="1" ht="12.75">
      <c r="A53" s="74" t="s">
        <v>31</v>
      </c>
      <c r="B53" s="75"/>
      <c r="C53" s="75"/>
      <c r="D53" s="75"/>
      <c r="E53" s="75"/>
      <c r="F53" s="75"/>
      <c r="G53" s="75"/>
      <c r="H53" s="75"/>
      <c r="I53" s="75"/>
      <c r="J53" s="75"/>
      <c r="K53" s="81"/>
    </row>
    <row r="54" ht="12.75">
      <c r="A54" s="24"/>
    </row>
    <row r="55" spans="1:11" ht="13.5">
      <c r="A55" s="32"/>
      <c r="F55" s="10" t="s">
        <v>9</v>
      </c>
      <c r="G55" s="33"/>
      <c r="H55" s="10" t="s">
        <v>83</v>
      </c>
      <c r="I55" s="10" t="s">
        <v>10</v>
      </c>
      <c r="J55" s="54" t="s">
        <v>84</v>
      </c>
      <c r="K55" s="34"/>
    </row>
    <row r="56" spans="1:11" ht="12.75">
      <c r="A56" s="35"/>
      <c r="F56" s="8" t="s">
        <v>17</v>
      </c>
      <c r="G56" s="36"/>
      <c r="H56" s="8" t="s">
        <v>18</v>
      </c>
      <c r="I56" s="8" t="s">
        <v>19</v>
      </c>
      <c r="J56" s="55" t="s">
        <v>85</v>
      </c>
      <c r="K56" s="34"/>
    </row>
    <row r="57" spans="2:11" ht="12.75">
      <c r="B57" s="26" t="s">
        <v>32</v>
      </c>
      <c r="F57" s="15"/>
      <c r="G57" s="37"/>
      <c r="H57" s="15"/>
      <c r="I57" s="15"/>
      <c r="J57" s="15"/>
      <c r="K57" s="38"/>
    </row>
    <row r="58" spans="2:11" ht="12.75">
      <c r="B58" s="39" t="s">
        <v>33</v>
      </c>
      <c r="C58" s="39"/>
      <c r="D58" s="26"/>
      <c r="E58" s="27"/>
      <c r="F58" s="40">
        <v>0.61</v>
      </c>
      <c r="G58" s="26"/>
      <c r="H58" s="40">
        <v>0.29</v>
      </c>
      <c r="I58" s="40">
        <v>0</v>
      </c>
      <c r="J58" s="40">
        <v>0.1</v>
      </c>
      <c r="K58" s="38"/>
    </row>
    <row r="59" ht="12.75">
      <c r="K59" s="38"/>
    </row>
    <row r="61" ht="12.75">
      <c r="A61" s="24" t="s">
        <v>34</v>
      </c>
    </row>
  </sheetData>
  <sheetProtection/>
  <mergeCells count="9">
    <mergeCell ref="A31:K31"/>
    <mergeCell ref="A53:K53"/>
    <mergeCell ref="H10:K10"/>
    <mergeCell ref="A8:K8"/>
    <mergeCell ref="A1:K1"/>
    <mergeCell ref="A5:K5"/>
    <mergeCell ref="A4:K4"/>
    <mergeCell ref="A3:K3"/>
    <mergeCell ref="A2:K2"/>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8" r:id="rId3"/>
  <drawing r:id="rId2"/>
</worksheet>
</file>

<file path=xl/worksheets/sheet21.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1">
      <selection activeCell="A28" sqref="A28"/>
    </sheetView>
  </sheetViews>
  <sheetFormatPr defaultColWidth="9.140625" defaultRowHeight="12.75"/>
  <cols>
    <col min="1" max="1" width="9.28125" style="3" customWidth="1"/>
    <col min="2" max="3" width="14.140625" style="16" customWidth="1"/>
    <col min="4" max="4" width="12.7109375" style="16" customWidth="1"/>
    <col min="5" max="5" width="8.8515625" style="17" customWidth="1"/>
    <col min="6" max="6" width="10.28125" style="16" customWidth="1"/>
    <col min="7" max="7" width="1.421875" style="16" customWidth="1"/>
    <col min="8" max="11" width="14.57421875" style="16" customWidth="1"/>
    <col min="12" max="12" width="12.7109375" style="0" customWidth="1"/>
  </cols>
  <sheetData>
    <row r="1" spans="1:11" ht="18">
      <c r="A1" s="70" t="s">
        <v>0</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4.25">
      <c r="A4" s="83" t="s">
        <v>3</v>
      </c>
      <c r="B4" s="83"/>
      <c r="C4" s="83"/>
      <c r="D4" s="83"/>
      <c r="E4" s="83"/>
      <c r="F4" s="83"/>
      <c r="G4" s="83"/>
      <c r="H4" s="83"/>
      <c r="I4" s="83"/>
      <c r="J4" s="83"/>
      <c r="K4" s="83"/>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5"/>
      <c r="E7" s="6"/>
      <c r="F7" s="5"/>
      <c r="G7" s="5"/>
      <c r="H7" s="5"/>
      <c r="I7" s="5"/>
      <c r="J7" s="5"/>
      <c r="K7" s="5"/>
    </row>
    <row r="8" spans="1:11" s="7" customFormat="1" ht="14.25" customHeight="1">
      <c r="A8" s="74" t="s">
        <v>70</v>
      </c>
      <c r="B8" s="75"/>
      <c r="C8" s="75"/>
      <c r="D8" s="75"/>
      <c r="E8" s="75"/>
      <c r="F8" s="75"/>
      <c r="G8" s="75"/>
      <c r="H8" s="75"/>
      <c r="I8" s="75"/>
      <c r="J8" s="75"/>
      <c r="K8" s="81"/>
    </row>
    <row r="9" spans="1:11" s="1" customFormat="1" ht="9" customHeight="1">
      <c r="A9" s="3"/>
      <c r="B9" s="4"/>
      <c r="C9" s="4"/>
      <c r="D9" s="5"/>
      <c r="E9" s="6"/>
      <c r="F9" s="5"/>
      <c r="G9" s="5"/>
      <c r="H9" s="5"/>
      <c r="I9" s="5"/>
      <c r="J9" s="5"/>
      <c r="K9" s="5"/>
    </row>
    <row r="10" spans="1:11" s="1" customFormat="1" ht="12.75">
      <c r="A10" s="3"/>
      <c r="B10" s="5"/>
      <c r="C10" s="5"/>
      <c r="D10" s="5"/>
      <c r="E10" s="6"/>
      <c r="F10" s="5"/>
      <c r="G10" s="5"/>
      <c r="H10" s="76" t="s">
        <v>5</v>
      </c>
      <c r="I10" s="76"/>
      <c r="J10" s="76"/>
      <c r="K10" s="76"/>
    </row>
    <row r="11" spans="1:11" s="1" customFormat="1" ht="7.5" customHeight="1">
      <c r="A11" s="3"/>
      <c r="B11" s="5"/>
      <c r="C11" s="5"/>
      <c r="D11" s="5"/>
      <c r="E11" s="6"/>
      <c r="F11" s="5"/>
      <c r="G11" s="5"/>
      <c r="H11" s="5"/>
      <c r="I11" s="5"/>
      <c r="J11" s="5"/>
      <c r="K11" s="5"/>
    </row>
    <row r="12" spans="1:11" s="12" customFormat="1" ht="12">
      <c r="A12" s="9"/>
      <c r="B12" s="10" t="s">
        <v>6</v>
      </c>
      <c r="C12" s="10" t="s">
        <v>6</v>
      </c>
      <c r="D12" s="10"/>
      <c r="E12" s="11" t="s">
        <v>7</v>
      </c>
      <c r="F12" s="10" t="s">
        <v>8</v>
      </c>
      <c r="G12" s="10"/>
      <c r="H12" s="10" t="s">
        <v>9</v>
      </c>
      <c r="I12" s="10" t="s">
        <v>83</v>
      </c>
      <c r="J12" s="10" t="s">
        <v>10</v>
      </c>
      <c r="K12" s="10" t="s">
        <v>84</v>
      </c>
    </row>
    <row r="13" spans="1:11" s="12" customFormat="1" ht="12">
      <c r="A13" s="13" t="s">
        <v>11</v>
      </c>
      <c r="B13" s="8" t="s">
        <v>12</v>
      </c>
      <c r="C13" s="8" t="s">
        <v>13</v>
      </c>
      <c r="D13" s="8" t="s">
        <v>14</v>
      </c>
      <c r="E13" s="14" t="s">
        <v>15</v>
      </c>
      <c r="F13" s="8" t="s">
        <v>16</v>
      </c>
      <c r="G13" s="15"/>
      <c r="H13" s="8" t="s">
        <v>17</v>
      </c>
      <c r="I13" s="8" t="s">
        <v>18</v>
      </c>
      <c r="J13" s="8" t="s">
        <v>19</v>
      </c>
      <c r="K13" s="8" t="s">
        <v>85</v>
      </c>
    </row>
    <row r="15" spans="1:11" ht="12.75">
      <c r="A15" s="3">
        <v>37712</v>
      </c>
      <c r="B15" s="16">
        <v>0</v>
      </c>
      <c r="C15" s="16">
        <v>0</v>
      </c>
      <c r="D15" s="16">
        <v>0</v>
      </c>
      <c r="E15" s="17">
        <v>0</v>
      </c>
      <c r="F15" s="16">
        <v>0</v>
      </c>
      <c r="H15" s="16">
        <v>0</v>
      </c>
      <c r="I15" s="16">
        <v>0</v>
      </c>
      <c r="J15" s="16">
        <v>0</v>
      </c>
      <c r="K15" s="16">
        <v>0</v>
      </c>
    </row>
    <row r="16" spans="1:11" ht="12.75">
      <c r="A16" s="3">
        <v>37742</v>
      </c>
      <c r="B16" s="16">
        <v>0</v>
      </c>
      <c r="C16" s="16">
        <v>0</v>
      </c>
      <c r="D16" s="16">
        <v>0</v>
      </c>
      <c r="E16" s="17">
        <v>0</v>
      </c>
      <c r="F16" s="16">
        <v>0</v>
      </c>
      <c r="H16" s="16">
        <v>0</v>
      </c>
      <c r="I16" s="16">
        <v>0</v>
      </c>
      <c r="J16" s="16">
        <v>0</v>
      </c>
      <c r="K16" s="16">
        <v>0</v>
      </c>
    </row>
    <row r="17" spans="1:11" ht="12.75">
      <c r="A17" s="3">
        <v>37773</v>
      </c>
      <c r="B17" s="16">
        <v>0</v>
      </c>
      <c r="C17" s="16">
        <v>0</v>
      </c>
      <c r="D17" s="16">
        <v>0</v>
      </c>
      <c r="E17" s="17">
        <v>0</v>
      </c>
      <c r="F17" s="16">
        <v>0</v>
      </c>
      <c r="H17" s="16">
        <v>0</v>
      </c>
      <c r="I17" s="16">
        <v>0</v>
      </c>
      <c r="J17" s="16">
        <v>0</v>
      </c>
      <c r="K17" s="16">
        <v>0</v>
      </c>
    </row>
    <row r="18" spans="1:11" ht="12.75">
      <c r="A18" s="3">
        <v>37803</v>
      </c>
      <c r="B18" s="16">
        <v>0</v>
      </c>
      <c r="C18" s="16">
        <v>0</v>
      </c>
      <c r="D18" s="16">
        <v>0</v>
      </c>
      <c r="E18" s="17">
        <v>0</v>
      </c>
      <c r="F18" s="16">
        <v>0</v>
      </c>
      <c r="H18" s="16">
        <v>0</v>
      </c>
      <c r="I18" s="16">
        <v>0</v>
      </c>
      <c r="J18" s="16">
        <v>0</v>
      </c>
      <c r="K18" s="16">
        <v>0</v>
      </c>
    </row>
    <row r="19" spans="1:11" ht="12.75">
      <c r="A19" s="3">
        <v>37834</v>
      </c>
      <c r="B19" s="16">
        <v>0</v>
      </c>
      <c r="C19" s="16">
        <v>0</v>
      </c>
      <c r="D19" s="16">
        <v>0</v>
      </c>
      <c r="E19" s="17">
        <v>0</v>
      </c>
      <c r="F19" s="16">
        <v>0</v>
      </c>
      <c r="H19" s="16">
        <v>0</v>
      </c>
      <c r="I19" s="16">
        <v>0</v>
      </c>
      <c r="J19" s="16">
        <v>0</v>
      </c>
      <c r="K19" s="16">
        <v>0</v>
      </c>
    </row>
    <row r="20" spans="1:11" ht="12.75">
      <c r="A20" s="3">
        <v>37865</v>
      </c>
      <c r="B20" s="16">
        <v>0</v>
      </c>
      <c r="C20" s="16">
        <v>0</v>
      </c>
      <c r="D20" s="16">
        <v>0</v>
      </c>
      <c r="E20" s="17">
        <v>0</v>
      </c>
      <c r="F20" s="16">
        <v>0</v>
      </c>
      <c r="H20" s="16">
        <v>0</v>
      </c>
      <c r="I20" s="16">
        <v>0</v>
      </c>
      <c r="J20" s="16">
        <v>0</v>
      </c>
      <c r="K20" s="16">
        <v>0</v>
      </c>
    </row>
    <row r="21" spans="1:11" ht="12.75">
      <c r="A21" s="3">
        <v>37895</v>
      </c>
      <c r="B21" s="16">
        <v>0</v>
      </c>
      <c r="C21" s="16">
        <v>0</v>
      </c>
      <c r="D21" s="16">
        <v>0</v>
      </c>
      <c r="E21" s="17">
        <v>0</v>
      </c>
      <c r="F21" s="16">
        <v>0</v>
      </c>
      <c r="H21" s="16">
        <v>0</v>
      </c>
      <c r="I21" s="16">
        <v>0</v>
      </c>
      <c r="J21" s="16">
        <v>0</v>
      </c>
      <c r="K21" s="16">
        <v>0</v>
      </c>
    </row>
    <row r="22" spans="1:11" ht="12.75">
      <c r="A22" s="3">
        <v>37926</v>
      </c>
      <c r="B22" s="16">
        <v>0</v>
      </c>
      <c r="C22" s="16">
        <v>0</v>
      </c>
      <c r="D22" s="16">
        <v>0</v>
      </c>
      <c r="E22" s="17">
        <v>0</v>
      </c>
      <c r="F22" s="16">
        <v>0</v>
      </c>
      <c r="H22" s="16">
        <v>0</v>
      </c>
      <c r="I22" s="16">
        <v>0</v>
      </c>
      <c r="J22" s="16">
        <v>0</v>
      </c>
      <c r="K22" s="16">
        <v>0</v>
      </c>
    </row>
    <row r="23" spans="1:11" ht="12.75">
      <c r="A23" s="3">
        <v>37956</v>
      </c>
      <c r="B23" s="16">
        <v>0</v>
      </c>
      <c r="C23" s="16">
        <v>0</v>
      </c>
      <c r="D23" s="16">
        <v>0</v>
      </c>
      <c r="E23" s="17">
        <v>0</v>
      </c>
      <c r="F23" s="16">
        <v>0</v>
      </c>
      <c r="H23" s="16">
        <v>0</v>
      </c>
      <c r="I23" s="16">
        <v>0</v>
      </c>
      <c r="J23" s="16">
        <v>0</v>
      </c>
      <c r="K23" s="16">
        <v>0</v>
      </c>
    </row>
    <row r="24" spans="1:11" ht="12.75">
      <c r="A24" s="3">
        <v>37987</v>
      </c>
      <c r="B24" s="16">
        <v>10924428.780000001</v>
      </c>
      <c r="C24" s="16">
        <f>B24-D24</f>
        <v>10068125.540000001</v>
      </c>
      <c r="D24" s="16">
        <v>856303.24</v>
      </c>
      <c r="E24" s="17">
        <f>5296/4</f>
        <v>1324</v>
      </c>
      <c r="F24" s="16">
        <v>161.68867824773415</v>
      </c>
      <c r="H24" s="16">
        <v>522344.97640000004</v>
      </c>
      <c r="I24" s="16">
        <f>D24*0.29</f>
        <v>248327.93959999998</v>
      </c>
      <c r="J24" s="16">
        <v>0</v>
      </c>
      <c r="K24" s="16">
        <f>D24*0.1</f>
        <v>85630.32400000001</v>
      </c>
    </row>
    <row r="25" spans="1:11" ht="12.75">
      <c r="A25" s="3">
        <v>38018</v>
      </c>
      <c r="B25" s="16">
        <v>70096149.71</v>
      </c>
      <c r="C25" s="16">
        <f>B25-D25</f>
        <v>64754192.669999994</v>
      </c>
      <c r="D25" s="16">
        <v>5341957.04</v>
      </c>
      <c r="E25" s="17">
        <f>38396/29</f>
        <v>1324</v>
      </c>
      <c r="F25" s="16">
        <v>139.12795707886238</v>
      </c>
      <c r="H25" s="16">
        <v>3258593.7944000005</v>
      </c>
      <c r="I25" s="16">
        <f>D25*0.29</f>
        <v>1549167.5415999999</v>
      </c>
      <c r="J25" s="16">
        <v>0</v>
      </c>
      <c r="K25" s="16">
        <f>D25*0.1</f>
        <v>534195.704</v>
      </c>
    </row>
    <row r="26" spans="1:11" ht="12.75">
      <c r="A26" s="3">
        <v>38047</v>
      </c>
      <c r="B26" s="16">
        <v>84065255.16</v>
      </c>
      <c r="C26" s="16">
        <f>B26-D26</f>
        <v>77666503.47</v>
      </c>
      <c r="D26" s="16">
        <v>6398751.69</v>
      </c>
      <c r="E26" s="17">
        <f>41044/31</f>
        <v>1324</v>
      </c>
      <c r="F26" s="16">
        <v>155.89980727999222</v>
      </c>
      <c r="H26" s="16">
        <v>3903238.5309</v>
      </c>
      <c r="I26" s="16">
        <f>D26*0.29</f>
        <v>1855637.9901</v>
      </c>
      <c r="J26" s="16">
        <v>0</v>
      </c>
      <c r="K26" s="16">
        <f>D26*0.1</f>
        <v>639875.1690000001</v>
      </c>
    </row>
    <row r="27" spans="1:11" ht="13.5" thickBot="1">
      <c r="A27" s="3" t="s">
        <v>20</v>
      </c>
      <c r="B27" s="18">
        <f>SUM(B15:B26)</f>
        <v>165085833.64999998</v>
      </c>
      <c r="C27" s="18">
        <f>SUM(C15:C26)</f>
        <v>152488821.68</v>
      </c>
      <c r="D27" s="18">
        <f>SUM(D15:D26)</f>
        <v>12597011.97</v>
      </c>
      <c r="H27" s="18">
        <f>SUM(H15:H26)</f>
        <v>7684177.301700001</v>
      </c>
      <c r="I27" s="18">
        <f>SUM(I15:I26)</f>
        <v>3653133.4713</v>
      </c>
      <c r="J27" s="18">
        <f>SUM(J15:J26)</f>
        <v>0</v>
      </c>
      <c r="K27" s="18">
        <f>SUM(K15:K26)</f>
        <v>1259701.1970000002</v>
      </c>
    </row>
    <row r="28" spans="2:11" ht="10.5" customHeight="1" thickTop="1">
      <c r="B28" s="19"/>
      <c r="C28" s="19"/>
      <c r="D28" s="19"/>
      <c r="H28" s="19"/>
      <c r="I28" s="19"/>
      <c r="J28" s="19"/>
      <c r="K28" s="19"/>
    </row>
    <row r="29" spans="1:11" s="22" customFormat="1" ht="12.75">
      <c r="A29" s="20"/>
      <c r="B29" s="21"/>
      <c r="C29" s="21">
        <f>C27/B27</f>
        <v>0.9236941675037543</v>
      </c>
      <c r="D29" s="21">
        <f>D27/B27</f>
        <v>0.07630583249624583</v>
      </c>
      <c r="H29" s="21">
        <f>H27/$D$27</f>
        <v>0.61</v>
      </c>
      <c r="I29" s="21">
        <f>I27/$D$27</f>
        <v>0.29</v>
      </c>
      <c r="J29" s="21">
        <f>J27/$D$27</f>
        <v>0</v>
      </c>
      <c r="K29" s="21">
        <f>K27/$D$27</f>
        <v>0.1</v>
      </c>
    </row>
    <row r="31" spans="1:11" s="23" customFormat="1" ht="12.75">
      <c r="A31" s="74" t="s">
        <v>21</v>
      </c>
      <c r="B31" s="75"/>
      <c r="C31" s="75"/>
      <c r="D31" s="75"/>
      <c r="E31" s="75"/>
      <c r="F31" s="75"/>
      <c r="G31" s="75"/>
      <c r="H31" s="75"/>
      <c r="I31" s="75"/>
      <c r="J31" s="75"/>
      <c r="K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1" ht="6" customHeight="1">
      <c r="A35" s="25"/>
      <c r="B35" s="26"/>
      <c r="C35" s="26"/>
      <c r="E35" s="26"/>
      <c r="F35" s="26"/>
      <c r="G35" s="26"/>
      <c r="H35" s="26"/>
      <c r="I35" s="26"/>
      <c r="J35" s="26"/>
      <c r="K35" s="26"/>
    </row>
    <row r="36" spans="1:11" ht="12.75">
      <c r="A36" s="25" t="s">
        <v>23</v>
      </c>
      <c r="B36" s="26"/>
      <c r="C36" s="26" t="s">
        <v>24</v>
      </c>
      <c r="E36" s="26"/>
      <c r="F36" s="26"/>
      <c r="G36" s="26"/>
      <c r="H36" s="26"/>
      <c r="I36" s="26"/>
      <c r="J36" s="26"/>
      <c r="K36" s="26"/>
    </row>
    <row r="37" spans="1:11" ht="6" customHeight="1">
      <c r="A37" s="25"/>
      <c r="B37" s="26"/>
      <c r="C37" s="26"/>
      <c r="E37" s="26"/>
      <c r="F37" s="26"/>
      <c r="G37" s="26"/>
      <c r="H37" s="26"/>
      <c r="I37" s="26"/>
      <c r="J37" s="26"/>
      <c r="K37" s="26"/>
    </row>
    <row r="38" spans="1:11" ht="12.75">
      <c r="A38" s="25" t="s">
        <v>25</v>
      </c>
      <c r="B38" s="26"/>
      <c r="C38" s="26" t="s">
        <v>26</v>
      </c>
      <c r="E38" s="27"/>
      <c r="F38" s="26"/>
      <c r="G38" s="26"/>
      <c r="H38" s="26"/>
      <c r="I38" s="26"/>
      <c r="J38" s="26"/>
      <c r="K38" s="26"/>
    </row>
    <row r="39" spans="1:11" ht="12.75">
      <c r="A39" s="25"/>
      <c r="B39" s="26"/>
      <c r="C39" s="26" t="s">
        <v>27</v>
      </c>
      <c r="E39" s="27"/>
      <c r="F39" s="26"/>
      <c r="G39" s="26"/>
      <c r="H39" s="26"/>
      <c r="I39" s="26"/>
      <c r="J39" s="26"/>
      <c r="K39" s="26"/>
    </row>
    <row r="40" spans="1:11" ht="6" customHeight="1">
      <c r="A40" s="25"/>
      <c r="B40" s="26"/>
      <c r="C40" s="26"/>
      <c r="E40" s="27"/>
      <c r="F40" s="26"/>
      <c r="G40" s="26"/>
      <c r="H40" s="26"/>
      <c r="I40" s="26"/>
      <c r="J40" s="26"/>
      <c r="K40" s="26"/>
    </row>
    <row r="41" spans="1:11" ht="12.75">
      <c r="A41" s="25" t="s">
        <v>28</v>
      </c>
      <c r="B41" s="26"/>
      <c r="C41" s="26" t="s">
        <v>29</v>
      </c>
      <c r="E41" s="27"/>
      <c r="F41" s="26"/>
      <c r="G41" s="26"/>
      <c r="H41" s="26"/>
      <c r="I41" s="26"/>
      <c r="J41" s="26"/>
      <c r="K41" s="26"/>
    </row>
    <row r="42" spans="1:11" ht="6" customHeight="1">
      <c r="A42" s="25"/>
      <c r="B42" s="26"/>
      <c r="C42" s="26"/>
      <c r="E42" s="27"/>
      <c r="F42" s="26"/>
      <c r="G42" s="26"/>
      <c r="H42" s="26"/>
      <c r="I42" s="26"/>
      <c r="J42" s="26"/>
      <c r="K42" s="26"/>
    </row>
    <row r="43" spans="1:12" s="46" customFormat="1" ht="12.75">
      <c r="A43" s="42" t="s">
        <v>76</v>
      </c>
      <c r="B43" s="43"/>
      <c r="C43" s="43" t="s">
        <v>79</v>
      </c>
      <c r="D43" s="47"/>
      <c r="E43" s="48"/>
      <c r="F43" s="43"/>
      <c r="G43" s="43"/>
      <c r="H43" s="43"/>
      <c r="I43" s="43"/>
      <c r="J43" s="43"/>
      <c r="K43" s="43"/>
      <c r="L43" s="43"/>
    </row>
    <row r="44" spans="1:12" s="46" customFormat="1" ht="12.75">
      <c r="A44" s="42"/>
      <c r="B44" s="43"/>
      <c r="C44" s="43" t="s">
        <v>86</v>
      </c>
      <c r="D44" s="47"/>
      <c r="E44" s="48"/>
      <c r="F44" s="43"/>
      <c r="G44" s="43"/>
      <c r="H44" s="43"/>
      <c r="I44" s="43"/>
      <c r="J44" s="43"/>
      <c r="K44" s="43"/>
      <c r="L44" s="43"/>
    </row>
    <row r="45" spans="1:12" s="46" customFormat="1" ht="12.75">
      <c r="A45" s="42"/>
      <c r="B45" s="43"/>
      <c r="C45" s="43" t="s">
        <v>87</v>
      </c>
      <c r="D45" s="47"/>
      <c r="E45" s="48"/>
      <c r="F45" s="43"/>
      <c r="G45" s="43"/>
      <c r="H45" s="43"/>
      <c r="I45" s="43"/>
      <c r="J45" s="43"/>
      <c r="K45" s="43"/>
      <c r="L45" s="43"/>
    </row>
    <row r="46" spans="1:11" ht="6" customHeight="1">
      <c r="A46" s="25"/>
      <c r="B46" s="26"/>
      <c r="C46" s="26"/>
      <c r="E46" s="27"/>
      <c r="F46" s="26"/>
      <c r="G46" s="26"/>
      <c r="H46" s="26"/>
      <c r="I46" s="26"/>
      <c r="J46" s="26"/>
      <c r="K46" s="26"/>
    </row>
    <row r="47" spans="1:12" s="46" customFormat="1" ht="12.75">
      <c r="A47" s="42" t="s">
        <v>30</v>
      </c>
      <c r="B47" s="43"/>
      <c r="C47" s="43" t="s">
        <v>77</v>
      </c>
      <c r="D47" s="47"/>
      <c r="E47" s="48"/>
      <c r="F47" s="43"/>
      <c r="G47" s="43"/>
      <c r="H47" s="43"/>
      <c r="I47" s="43"/>
      <c r="J47" s="43"/>
      <c r="K47" s="43"/>
      <c r="L47" s="43"/>
    </row>
    <row r="48" spans="1:12" s="46" customFormat="1" ht="12.75">
      <c r="A48" s="42"/>
      <c r="B48" s="43"/>
      <c r="C48" s="43" t="s">
        <v>78</v>
      </c>
      <c r="D48" s="47"/>
      <c r="E48" s="48"/>
      <c r="F48" s="43"/>
      <c r="G48" s="43"/>
      <c r="H48" s="43"/>
      <c r="I48" s="43"/>
      <c r="J48" s="43"/>
      <c r="K48" s="43"/>
      <c r="L48" s="43"/>
    </row>
    <row r="49" spans="1:11" ht="6" customHeight="1">
      <c r="A49" s="25"/>
      <c r="B49" s="26"/>
      <c r="C49" s="26"/>
      <c r="E49" s="27"/>
      <c r="F49" s="26"/>
      <c r="G49" s="26"/>
      <c r="H49" s="26"/>
      <c r="I49" s="26"/>
      <c r="J49" s="26"/>
      <c r="K49" s="26"/>
    </row>
    <row r="50" spans="1:12" s="46" customFormat="1" ht="12.75">
      <c r="A50" s="42" t="s">
        <v>80</v>
      </c>
      <c r="B50" s="43"/>
      <c r="C50" s="43" t="s">
        <v>81</v>
      </c>
      <c r="D50" s="47"/>
      <c r="E50" s="48"/>
      <c r="F50" s="43"/>
      <c r="G50" s="43"/>
      <c r="H50" s="43"/>
      <c r="I50" s="43"/>
      <c r="J50" s="43"/>
      <c r="K50" s="43"/>
      <c r="L50" s="43"/>
    </row>
    <row r="51" spans="1:12" s="46" customFormat="1" ht="12.75">
      <c r="A51" s="49"/>
      <c r="B51" s="43"/>
      <c r="C51" s="43" t="s">
        <v>82</v>
      </c>
      <c r="D51" s="47"/>
      <c r="E51" s="48"/>
      <c r="F51" s="43"/>
      <c r="G51" s="43"/>
      <c r="H51" s="43"/>
      <c r="I51" s="43"/>
      <c r="J51" s="43"/>
      <c r="K51" s="43"/>
      <c r="L51" s="43"/>
    </row>
    <row r="52" spans="1:11" ht="12.75">
      <c r="A52" s="29"/>
      <c r="B52" s="30"/>
      <c r="C52" s="30"/>
      <c r="D52" s="30"/>
      <c r="E52" s="31"/>
      <c r="F52" s="30"/>
      <c r="G52" s="30"/>
      <c r="H52" s="30"/>
      <c r="I52" s="30"/>
      <c r="J52" s="30"/>
      <c r="K52" s="30"/>
    </row>
    <row r="53" spans="1:11" s="23" customFormat="1" ht="12.75">
      <c r="A53" s="74" t="s">
        <v>31</v>
      </c>
      <c r="B53" s="75"/>
      <c r="C53" s="75"/>
      <c r="D53" s="75"/>
      <c r="E53" s="75"/>
      <c r="F53" s="75"/>
      <c r="G53" s="75"/>
      <c r="H53" s="75"/>
      <c r="I53" s="75"/>
      <c r="J53" s="75"/>
      <c r="K53" s="81"/>
    </row>
    <row r="54" ht="12.75">
      <c r="A54" s="24"/>
    </row>
    <row r="55" spans="1:11" ht="13.5">
      <c r="A55" s="32"/>
      <c r="F55" s="10" t="s">
        <v>9</v>
      </c>
      <c r="G55" s="33"/>
      <c r="H55" s="10" t="s">
        <v>83</v>
      </c>
      <c r="I55" s="10" t="s">
        <v>10</v>
      </c>
      <c r="J55" s="54" t="s">
        <v>84</v>
      </c>
      <c r="K55" s="34"/>
    </row>
    <row r="56" spans="1:11" ht="12.75">
      <c r="A56" s="35"/>
      <c r="F56" s="8" t="s">
        <v>17</v>
      </c>
      <c r="G56" s="36"/>
      <c r="H56" s="8" t="s">
        <v>18</v>
      </c>
      <c r="I56" s="8" t="s">
        <v>19</v>
      </c>
      <c r="J56" s="55" t="s">
        <v>85</v>
      </c>
      <c r="K56" s="34"/>
    </row>
    <row r="57" spans="2:11" ht="12.75">
      <c r="B57" s="26" t="s">
        <v>32</v>
      </c>
      <c r="F57" s="15"/>
      <c r="G57" s="37"/>
      <c r="H57" s="15"/>
      <c r="I57" s="15"/>
      <c r="J57" s="15"/>
      <c r="K57" s="38"/>
    </row>
    <row r="58" spans="2:11" ht="12.75">
      <c r="B58" s="39" t="s">
        <v>33</v>
      </c>
      <c r="C58" s="39"/>
      <c r="D58" s="26"/>
      <c r="E58" s="27"/>
      <c r="F58" s="40">
        <v>0.61</v>
      </c>
      <c r="G58" s="26"/>
      <c r="H58" s="40">
        <v>0.29</v>
      </c>
      <c r="I58" s="40">
        <v>0</v>
      </c>
      <c r="J58" s="40">
        <v>0.1</v>
      </c>
      <c r="K58" s="38"/>
    </row>
    <row r="59" ht="12.75">
      <c r="K59" s="38"/>
    </row>
    <row r="61" ht="12.75">
      <c r="A61" s="24" t="s">
        <v>34</v>
      </c>
    </row>
  </sheetData>
  <sheetProtection/>
  <mergeCells count="9">
    <mergeCell ref="A31:K31"/>
    <mergeCell ref="A53:K53"/>
    <mergeCell ref="H10:K10"/>
    <mergeCell ref="A8:K8"/>
    <mergeCell ref="A1:K1"/>
    <mergeCell ref="A5:K5"/>
    <mergeCell ref="A4:K4"/>
    <mergeCell ref="A3:K3"/>
    <mergeCell ref="A2:K2"/>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80"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E40" sqref="E40"/>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10.57421875" style="17" customWidth="1"/>
    <col min="7" max="7" width="10.57421875" style="16" customWidth="1"/>
    <col min="8" max="8" width="4.00390625" style="16" customWidth="1"/>
    <col min="9" max="9" width="13.140625" style="16" customWidth="1"/>
    <col min="10" max="10" width="12.57421875" style="16" customWidth="1"/>
    <col min="11" max="11" width="12.8515625" style="16" bestFit="1" customWidth="1"/>
    <col min="12" max="12" width="12.7109375" style="0" customWidth="1"/>
  </cols>
  <sheetData>
    <row r="1" spans="1:11" ht="18">
      <c r="A1" s="70" t="s">
        <v>111</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5">
      <c r="A4" s="72" t="s">
        <v>112</v>
      </c>
      <c r="B4" s="72"/>
      <c r="C4" s="72"/>
      <c r="D4" s="72"/>
      <c r="E4" s="72"/>
      <c r="F4" s="72"/>
      <c r="G4" s="72"/>
      <c r="H4" s="72"/>
      <c r="I4" s="72"/>
      <c r="J4" s="72"/>
      <c r="K4" s="72"/>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74" t="s">
        <v>129</v>
      </c>
      <c r="B8" s="75"/>
      <c r="C8" s="75"/>
      <c r="D8" s="75"/>
      <c r="E8" s="75"/>
      <c r="F8" s="75"/>
      <c r="G8" s="75"/>
      <c r="H8" s="75"/>
      <c r="I8" s="75"/>
      <c r="J8" s="75"/>
      <c r="K8" s="75"/>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76" t="s">
        <v>5</v>
      </c>
      <c r="J10" s="76"/>
      <c r="K10" s="76"/>
    </row>
    <row r="11" spans="1:13" s="1" customFormat="1" ht="12.75">
      <c r="A11" s="3"/>
      <c r="B11" s="5"/>
      <c r="C11" s="5"/>
      <c r="D11" s="5"/>
      <c r="E11" s="5"/>
      <c r="F11" s="6"/>
      <c r="G11" s="5"/>
      <c r="H11" s="5"/>
      <c r="I11" s="5"/>
      <c r="K11" s="5"/>
      <c r="M11" s="5"/>
    </row>
    <row r="12" spans="1:11" s="12" customFormat="1" ht="12">
      <c r="A12" s="9"/>
      <c r="B12" s="10" t="s">
        <v>6</v>
      </c>
      <c r="C12" s="10" t="s">
        <v>75</v>
      </c>
      <c r="D12" s="10" t="s">
        <v>6</v>
      </c>
      <c r="E12" s="10"/>
      <c r="F12" s="11" t="s">
        <v>7</v>
      </c>
      <c r="G12" s="10" t="s">
        <v>8</v>
      </c>
      <c r="H12" s="10"/>
      <c r="I12" s="10" t="s">
        <v>9</v>
      </c>
      <c r="J12" s="10" t="s">
        <v>84</v>
      </c>
      <c r="K12" s="10" t="s">
        <v>83</v>
      </c>
    </row>
    <row r="13" spans="1:11" s="12" customFormat="1" ht="12">
      <c r="A13" s="13" t="s">
        <v>11</v>
      </c>
      <c r="B13" s="8" t="s">
        <v>12</v>
      </c>
      <c r="C13" s="8" t="s">
        <v>19</v>
      </c>
      <c r="D13" s="8" t="s">
        <v>13</v>
      </c>
      <c r="E13" s="8" t="s">
        <v>14</v>
      </c>
      <c r="F13" s="14" t="s">
        <v>15</v>
      </c>
      <c r="G13" s="8" t="s">
        <v>16</v>
      </c>
      <c r="H13" s="15"/>
      <c r="I13" s="8" t="s">
        <v>17</v>
      </c>
      <c r="J13" s="8" t="s">
        <v>85</v>
      </c>
      <c r="K13" s="8" t="s">
        <v>18</v>
      </c>
    </row>
    <row r="15" spans="1:11" ht="12.75">
      <c r="A15" s="68">
        <v>44287</v>
      </c>
      <c r="B15" s="16">
        <v>156458765.65</v>
      </c>
      <c r="C15" s="16">
        <v>903469.18</v>
      </c>
      <c r="D15" s="63">
        <f aca="true" t="shared" si="0" ref="D15:D26">IF(ISBLANK(B15),"",B15-C15-E15)</f>
        <v>144587716.3</v>
      </c>
      <c r="E15" s="16">
        <v>10967580.17</v>
      </c>
      <c r="F15" s="27">
        <v>724</v>
      </c>
      <c r="G15" s="63">
        <f>_xlfn.IFERROR((E15/F15/30)," ")</f>
        <v>504.95304650092083</v>
      </c>
      <c r="I15" s="16">
        <v>5099924.8</v>
      </c>
      <c r="J15" s="16">
        <v>1096758.04</v>
      </c>
      <c r="K15" s="16">
        <v>4770897.37</v>
      </c>
    </row>
    <row r="16" spans="1:11" ht="12.75">
      <c r="A16" s="68">
        <v>44317</v>
      </c>
      <c r="B16" s="16">
        <v>157704990.48</v>
      </c>
      <c r="C16" s="26">
        <v>992782.33</v>
      </c>
      <c r="D16" s="63">
        <f t="shared" si="0"/>
        <v>145802770.76</v>
      </c>
      <c r="E16" s="16">
        <v>10909437.39</v>
      </c>
      <c r="F16" s="17">
        <v>759</v>
      </c>
      <c r="G16" s="63">
        <f>_xlfn.IFERROR((E16/F16/31)," ")</f>
        <v>463.65920311105447</v>
      </c>
      <c r="I16" s="16">
        <v>5072888.37</v>
      </c>
      <c r="J16" s="16">
        <v>1090943.7700000003</v>
      </c>
      <c r="K16" s="16">
        <v>4745605.239999998</v>
      </c>
    </row>
    <row r="17" spans="1:11" ht="12.75">
      <c r="A17" s="68">
        <v>44348</v>
      </c>
      <c r="B17" s="16">
        <v>156899437.08000004</v>
      </c>
      <c r="C17" s="26">
        <v>930015.4500000001</v>
      </c>
      <c r="D17" s="63">
        <f t="shared" si="0"/>
        <v>145122087.69000006</v>
      </c>
      <c r="E17" s="16">
        <v>10847333.94</v>
      </c>
      <c r="F17" s="17">
        <v>1028</v>
      </c>
      <c r="G17" s="63">
        <f>_xlfn.IFERROR((E17/F17/30)," ")</f>
        <v>351.7293754863813</v>
      </c>
      <c r="I17" s="16">
        <v>5044010.289999999</v>
      </c>
      <c r="J17" s="16">
        <v>1084733.4100000001</v>
      </c>
      <c r="K17" s="16">
        <v>4718590.24</v>
      </c>
    </row>
    <row r="18" spans="1:11" ht="12.75">
      <c r="A18" s="68">
        <v>44378</v>
      </c>
      <c r="B18" s="16">
        <v>193175666.21999997</v>
      </c>
      <c r="C18" s="26">
        <v>1022056.6000000001</v>
      </c>
      <c r="D18" s="63">
        <f t="shared" si="0"/>
        <v>178669108.86999997</v>
      </c>
      <c r="E18" s="16">
        <v>13484500.750000006</v>
      </c>
      <c r="F18" s="17">
        <v>1291</v>
      </c>
      <c r="G18" s="63">
        <f>_xlfn.IFERROR((E18/F18/31)," ")</f>
        <v>336.93562754553875</v>
      </c>
      <c r="I18" s="16">
        <v>6270292.85</v>
      </c>
      <c r="J18" s="16">
        <v>1348450.1</v>
      </c>
      <c r="K18" s="16">
        <v>5865757.839999999</v>
      </c>
    </row>
    <row r="19" spans="1:11" ht="12.75">
      <c r="A19" s="68">
        <v>44409</v>
      </c>
      <c r="B19" s="16">
        <v>188414510.03000006</v>
      </c>
      <c r="C19" s="26">
        <v>989946.5</v>
      </c>
      <c r="D19" s="63">
        <f t="shared" si="0"/>
        <v>174459471.33000007</v>
      </c>
      <c r="E19" s="16">
        <v>12965092.200000001</v>
      </c>
      <c r="F19" s="17">
        <v>1291</v>
      </c>
      <c r="G19" s="63">
        <f>_xlfn.IFERROR((E19/F19/31)," ")</f>
        <v>323.9572274555859</v>
      </c>
      <c r="I19" s="16">
        <v>6028767.873000002</v>
      </c>
      <c r="J19" s="16">
        <v>1296509.2200000002</v>
      </c>
      <c r="K19" s="16">
        <v>5639815.090000001</v>
      </c>
    </row>
    <row r="20" spans="1:11" ht="12.75">
      <c r="A20" s="68">
        <v>44440</v>
      </c>
      <c r="B20" s="16">
        <v>163597255.29</v>
      </c>
      <c r="C20" s="16">
        <v>970357.43</v>
      </c>
      <c r="D20" s="63">
        <f t="shared" si="0"/>
        <v>150894013.48</v>
      </c>
      <c r="E20" s="16">
        <v>11732884.379999997</v>
      </c>
      <c r="F20" s="17">
        <v>1291</v>
      </c>
      <c r="G20" s="63">
        <f>_xlfn.IFERROR((E20/F20/30)," ")</f>
        <v>302.94046940356304</v>
      </c>
      <c r="I20" s="16">
        <v>5455791.2367</v>
      </c>
      <c r="J20" s="16">
        <v>1173288.438</v>
      </c>
      <c r="K20" s="26">
        <v>5103804.730000001</v>
      </c>
    </row>
    <row r="21" spans="1:11" ht="12.75">
      <c r="A21" s="68">
        <v>44470</v>
      </c>
      <c r="B21" s="16">
        <v>170102756.32000002</v>
      </c>
      <c r="C21" s="16">
        <v>1035639.48</v>
      </c>
      <c r="D21" s="63">
        <f t="shared" si="0"/>
        <v>157493899.53000003</v>
      </c>
      <c r="E21" s="16">
        <v>11573217.31</v>
      </c>
      <c r="F21" s="17">
        <v>1291</v>
      </c>
      <c r="G21" s="63">
        <f>_xlfn.IFERROR((E21/F21/31)," ")</f>
        <v>289.1786139776617</v>
      </c>
      <c r="I21" s="16">
        <v>5381546.06</v>
      </c>
      <c r="J21" s="16">
        <v>1157321.73</v>
      </c>
      <c r="K21" s="16">
        <v>5034349.560000002</v>
      </c>
    </row>
    <row r="22" spans="1:11" ht="12.75">
      <c r="A22" s="68">
        <v>44501</v>
      </c>
      <c r="B22" s="16">
        <v>146487589.63</v>
      </c>
      <c r="C22" s="16">
        <v>910101.5500000002</v>
      </c>
      <c r="D22" s="63">
        <f t="shared" si="0"/>
        <v>135503198.92999998</v>
      </c>
      <c r="E22" s="16">
        <v>10074289.149999999</v>
      </c>
      <c r="F22" s="17">
        <v>1293</v>
      </c>
      <c r="G22" s="63">
        <f>_xlfn.IFERROR((E22/F22/30)," ")</f>
        <v>259.7135640629028</v>
      </c>
      <c r="I22" s="16">
        <v>4684544.4399999995</v>
      </c>
      <c r="J22" s="16">
        <v>1007428.9299999998</v>
      </c>
      <c r="K22" s="16">
        <v>4382315.77</v>
      </c>
    </row>
    <row r="23" spans="1:11" ht="12.75">
      <c r="A23" s="68">
        <v>44531</v>
      </c>
      <c r="B23" s="16">
        <v>143754834.97000003</v>
      </c>
      <c r="C23" s="16">
        <v>883239.6100000001</v>
      </c>
      <c r="D23" s="63">
        <f t="shared" si="0"/>
        <v>132898215.22000001</v>
      </c>
      <c r="E23" s="16">
        <v>9973380.14</v>
      </c>
      <c r="F23" s="17">
        <v>1293</v>
      </c>
      <c r="G23" s="63">
        <f>_xlfn.IFERROR((E23/F23/31)," ")</f>
        <v>248.81820572312452</v>
      </c>
      <c r="I23" s="16">
        <v>4637621.780000001</v>
      </c>
      <c r="J23" s="16">
        <v>997338.03</v>
      </c>
      <c r="K23" s="16">
        <v>4338420.35</v>
      </c>
    </row>
    <row r="24" spans="1:11" ht="12.75">
      <c r="A24" s="68">
        <v>44562</v>
      </c>
      <c r="B24" s="16">
        <v>136370813.09999996</v>
      </c>
      <c r="C24" s="16">
        <v>894570.97</v>
      </c>
      <c r="D24" s="63">
        <f t="shared" si="0"/>
        <v>126218655.30999997</v>
      </c>
      <c r="E24" s="16">
        <v>9257586.819999998</v>
      </c>
      <c r="F24" s="17">
        <v>1293</v>
      </c>
      <c r="G24" s="63">
        <f>_xlfn.IFERROR((E24/F24/31)," ")</f>
        <v>230.9604276127036</v>
      </c>
      <c r="I24" s="16">
        <v>4304777.88</v>
      </c>
      <c r="J24" s="16">
        <v>925758.67</v>
      </c>
      <c r="K24" s="16">
        <v>4027050.24</v>
      </c>
    </row>
    <row r="25" spans="1:11" ht="12.75">
      <c r="A25" s="68">
        <v>44593</v>
      </c>
      <c r="B25" s="16">
        <v>147131824.76000002</v>
      </c>
      <c r="C25" s="16">
        <v>925867.9299999999</v>
      </c>
      <c r="D25" s="63">
        <f t="shared" si="0"/>
        <v>136244492.37</v>
      </c>
      <c r="E25" s="16">
        <v>9961464.459999999</v>
      </c>
      <c r="F25" s="17">
        <v>1293</v>
      </c>
      <c r="G25" s="63">
        <f>_xlfn.IFERROR((E25/F25/28)," ")</f>
        <v>275.14817313004085</v>
      </c>
      <c r="I25" s="16">
        <v>4632080.960000001</v>
      </c>
      <c r="J25" s="16">
        <v>996146.4600000002</v>
      </c>
      <c r="K25" s="16">
        <v>4333237.03</v>
      </c>
    </row>
    <row r="26" spans="1:11" ht="12.75">
      <c r="A26" s="68">
        <v>44621</v>
      </c>
      <c r="B26" s="16">
        <v>172656566.42000002</v>
      </c>
      <c r="C26" s="16">
        <v>1048826.19</v>
      </c>
      <c r="D26" s="63">
        <f t="shared" si="0"/>
        <v>159775613.32000002</v>
      </c>
      <c r="E26" s="16">
        <v>11832126.909999996</v>
      </c>
      <c r="F26" s="17">
        <v>1293</v>
      </c>
      <c r="G26" s="63">
        <f>_xlfn.IFERROR((E26/F26/31)," ")</f>
        <v>295.1906521467953</v>
      </c>
      <c r="I26" s="16">
        <v>5501939.01</v>
      </c>
      <c r="J26" s="16">
        <v>1183212.72</v>
      </c>
      <c r="K26" s="16">
        <v>5146975.2</v>
      </c>
    </row>
    <row r="27" spans="1:11" ht="13.5" thickBot="1">
      <c r="A27" s="60" t="s">
        <v>20</v>
      </c>
      <c r="B27" s="61">
        <f>SUM(B15:B26)</f>
        <v>1932755009.9500003</v>
      </c>
      <c r="C27" s="61">
        <f>SUM(C15:C26)</f>
        <v>11506873.22</v>
      </c>
      <c r="D27" s="61">
        <f>SUM(D15:D26)</f>
        <v>1787669243.11</v>
      </c>
      <c r="E27" s="61">
        <f>SUM(E15:E26)</f>
        <v>133578893.62</v>
      </c>
      <c r="F27" s="62">
        <f>AVERAGE(F15:F26)</f>
        <v>1178.3333333333333</v>
      </c>
      <c r="G27" s="61">
        <f>AVERAGE(G15:G26)</f>
        <v>323.5987155130228</v>
      </c>
      <c r="H27" s="33"/>
      <c r="I27" s="61">
        <f>SUM(I15:I26)</f>
        <v>62114185.5497</v>
      </c>
      <c r="J27" s="61">
        <f>SUM(J15:J26)</f>
        <v>13357889.518000001</v>
      </c>
      <c r="K27" s="61">
        <f>SUM(K15:K26)</f>
        <v>58106818.66000001</v>
      </c>
    </row>
    <row r="28" spans="2:11" ht="10.5" customHeight="1" thickTop="1">
      <c r="B28" s="19"/>
      <c r="C28" s="19"/>
      <c r="D28" s="19"/>
      <c r="E28" s="19"/>
      <c r="I28" s="19"/>
      <c r="J28" s="19"/>
      <c r="K28" s="19"/>
    </row>
    <row r="29" spans="1:11" s="22" customFormat="1" ht="12.75">
      <c r="A29" s="20"/>
      <c r="B29" s="21"/>
      <c r="C29" s="21">
        <f>_xlfn.IFERROR(C27/B27,"")</f>
        <v>0.005953611896366358</v>
      </c>
      <c r="D29" s="21">
        <f>_xlfn.IFERROR(D27/B27,"")</f>
        <v>0.9249331828953563</v>
      </c>
      <c r="E29" s="21">
        <f>_xlfn.IFERROR(E27/B27,"")</f>
        <v>0.06911320520827709</v>
      </c>
      <c r="I29" s="21">
        <f>_xlfn.IFERROR(I27/$E$27,"")</f>
        <v>0.46500000012277387</v>
      </c>
      <c r="J29" s="21">
        <f>_xlfn.IFERROR(J27/$E$27,"")</f>
        <v>0.10000000116784917</v>
      </c>
      <c r="K29" s="21">
        <f>_xlfn.IFERROR(K27/$E$27,"")</f>
        <v>0.4349999995156421</v>
      </c>
    </row>
    <row r="31" spans="1:11" s="23" customFormat="1" ht="12.75">
      <c r="A31" s="74" t="s">
        <v>21</v>
      </c>
      <c r="B31" s="75"/>
      <c r="C31" s="75"/>
      <c r="D31" s="75"/>
      <c r="E31" s="75"/>
      <c r="F31" s="75"/>
      <c r="G31" s="75"/>
      <c r="H31" s="75"/>
      <c r="I31" s="75"/>
      <c r="J31" s="75"/>
      <c r="K31" s="75"/>
    </row>
    <row r="32" ht="12.75">
      <c r="A32" s="24"/>
    </row>
    <row r="33" spans="1:11" s="46" customFormat="1" ht="12.75" customHeight="1">
      <c r="A33" s="42" t="s">
        <v>22</v>
      </c>
      <c r="B33" s="43"/>
      <c r="C33" s="44" t="s">
        <v>97</v>
      </c>
      <c r="D33" s="45"/>
      <c r="E33" s="45"/>
      <c r="F33" s="45"/>
      <c r="G33" s="45"/>
      <c r="H33" s="45"/>
      <c r="I33" s="45"/>
      <c r="J33" s="45"/>
      <c r="K33" s="45"/>
    </row>
    <row r="34" spans="1:11" s="46" customFormat="1" ht="12.75" customHeight="1">
      <c r="A34" s="42"/>
      <c r="B34" s="43"/>
      <c r="C34" s="44" t="s">
        <v>98</v>
      </c>
      <c r="D34" s="45"/>
      <c r="E34" s="45"/>
      <c r="F34" s="45"/>
      <c r="G34" s="45"/>
      <c r="H34" s="45"/>
      <c r="I34" s="45"/>
      <c r="J34" s="45"/>
      <c r="K34" s="45"/>
    </row>
    <row r="35" spans="1:11" s="46" customFormat="1" ht="6" customHeight="1">
      <c r="A35" s="42"/>
      <c r="B35" s="43"/>
      <c r="C35" s="44"/>
      <c r="E35" s="45"/>
      <c r="F35" s="45"/>
      <c r="G35" s="45"/>
      <c r="H35" s="45"/>
      <c r="I35" s="45"/>
      <c r="J35" s="45"/>
      <c r="K35" s="45"/>
    </row>
    <row r="36" spans="1:11" ht="12.75">
      <c r="A36" s="25" t="s">
        <v>100</v>
      </c>
      <c r="B36" s="26"/>
      <c r="C36" s="26" t="s">
        <v>89</v>
      </c>
      <c r="F36" s="26"/>
      <c r="G36" s="26"/>
      <c r="H36" s="26"/>
      <c r="I36" s="26"/>
      <c r="J36" s="26"/>
      <c r="K36" s="26"/>
    </row>
    <row r="37" spans="1:11" s="46" customFormat="1" ht="6" customHeight="1">
      <c r="A37" s="42"/>
      <c r="B37" s="43"/>
      <c r="C37" s="43"/>
      <c r="D37" s="44"/>
      <c r="E37" s="47"/>
      <c r="F37" s="44"/>
      <c r="G37" s="44"/>
      <c r="H37" s="44"/>
      <c r="I37" s="44"/>
      <c r="J37" s="43"/>
      <c r="K37" s="43"/>
    </row>
    <row r="38" spans="1:11" s="46" customFormat="1" ht="12.75">
      <c r="A38" s="42" t="s">
        <v>23</v>
      </c>
      <c r="B38" s="43"/>
      <c r="C38" s="44" t="s">
        <v>104</v>
      </c>
      <c r="E38" s="47"/>
      <c r="F38" s="44"/>
      <c r="G38" s="44"/>
      <c r="H38" s="44"/>
      <c r="I38" s="44"/>
      <c r="J38" s="43"/>
      <c r="K38" s="43"/>
    </row>
    <row r="39" spans="1:11" s="46" customFormat="1" ht="6" customHeight="1">
      <c r="A39" s="42"/>
      <c r="B39" s="43"/>
      <c r="C39" s="43"/>
      <c r="D39" s="44"/>
      <c r="E39" s="47"/>
      <c r="F39" s="44"/>
      <c r="G39" s="44"/>
      <c r="H39" s="44"/>
      <c r="I39" s="44"/>
      <c r="J39" s="43"/>
      <c r="K39" s="43"/>
    </row>
    <row r="40" spans="1:11" s="46" customFormat="1" ht="12.75">
      <c r="A40" s="42" t="s">
        <v>25</v>
      </c>
      <c r="B40" s="43"/>
      <c r="C40" s="43" t="s">
        <v>58</v>
      </c>
      <c r="E40" s="47"/>
      <c r="F40" s="48"/>
      <c r="G40" s="43"/>
      <c r="H40" s="43"/>
      <c r="I40" s="43"/>
      <c r="J40" s="43"/>
      <c r="K40" s="43"/>
    </row>
    <row r="41" spans="1:11" s="46" customFormat="1" ht="12.75">
      <c r="A41" s="42"/>
      <c r="B41" s="43"/>
      <c r="C41" s="43" t="s">
        <v>59</v>
      </c>
      <c r="E41" s="47"/>
      <c r="F41" s="48"/>
      <c r="G41" s="43"/>
      <c r="H41" s="43"/>
      <c r="I41" s="43"/>
      <c r="J41" s="43"/>
      <c r="K41" s="43"/>
    </row>
    <row r="42" spans="1:11" s="46" customFormat="1" ht="6" customHeight="1">
      <c r="A42" s="42"/>
      <c r="B42" s="43"/>
      <c r="C42" s="43"/>
      <c r="D42" s="43"/>
      <c r="E42" s="47"/>
      <c r="F42" s="48"/>
      <c r="G42" s="43"/>
      <c r="H42" s="43"/>
      <c r="I42" s="43"/>
      <c r="J42" s="43"/>
      <c r="K42" s="43"/>
    </row>
    <row r="43" spans="1:11" s="46" customFormat="1" ht="12.75">
      <c r="A43" s="42" t="s">
        <v>28</v>
      </c>
      <c r="B43" s="43"/>
      <c r="C43" s="43" t="s">
        <v>29</v>
      </c>
      <c r="E43" s="47"/>
      <c r="F43" s="48"/>
      <c r="G43" s="43"/>
      <c r="H43" s="43"/>
      <c r="I43" s="43"/>
      <c r="J43" s="43"/>
      <c r="K43" s="43"/>
    </row>
    <row r="44" spans="1:11" s="46" customFormat="1" ht="6" customHeight="1">
      <c r="A44" s="42"/>
      <c r="B44" s="43"/>
      <c r="C44" s="43"/>
      <c r="D44" s="43"/>
      <c r="E44" s="47"/>
      <c r="F44" s="48"/>
      <c r="G44" s="43"/>
      <c r="H44" s="43"/>
      <c r="I44" s="43"/>
      <c r="J44" s="43"/>
      <c r="K44" s="43"/>
    </row>
    <row r="45" spans="1:11" s="46" customFormat="1" ht="12.75">
      <c r="A45" s="42" t="s">
        <v>76</v>
      </c>
      <c r="B45" s="43"/>
      <c r="C45" s="43" t="s">
        <v>79</v>
      </c>
      <c r="D45" s="47"/>
      <c r="E45" s="48"/>
      <c r="F45" s="43"/>
      <c r="G45" s="43"/>
      <c r="H45" s="43"/>
      <c r="I45" s="43"/>
      <c r="J45" s="43"/>
      <c r="K45" s="43"/>
    </row>
    <row r="46" spans="1:11" s="46" customFormat="1" ht="12.75">
      <c r="A46" s="42"/>
      <c r="B46" s="43"/>
      <c r="C46" s="43" t="s">
        <v>86</v>
      </c>
      <c r="D46" s="47"/>
      <c r="E46" s="48"/>
      <c r="F46" s="43"/>
      <c r="G46" s="43"/>
      <c r="H46" s="43"/>
      <c r="I46" s="43"/>
      <c r="J46" s="43"/>
      <c r="K46" s="43"/>
    </row>
    <row r="47" spans="1:11" s="46" customFormat="1" ht="12.75">
      <c r="A47" s="42"/>
      <c r="B47" s="43"/>
      <c r="C47" s="43" t="s">
        <v>87</v>
      </c>
      <c r="D47" s="47"/>
      <c r="E47" s="48"/>
      <c r="F47" s="43"/>
      <c r="G47" s="43"/>
      <c r="H47" s="43"/>
      <c r="I47" s="43"/>
      <c r="J47" s="43"/>
      <c r="K47" s="43"/>
    </row>
    <row r="48" spans="1:11" s="46" customFormat="1" ht="6" customHeight="1">
      <c r="A48" s="42"/>
      <c r="B48" s="43"/>
      <c r="C48" s="43"/>
      <c r="E48" s="47"/>
      <c r="F48" s="48"/>
      <c r="G48" s="43"/>
      <c r="H48" s="43"/>
      <c r="I48" s="43"/>
      <c r="J48" s="43"/>
      <c r="K48" s="43"/>
    </row>
    <row r="49" spans="1:11" s="46" customFormat="1" ht="12.75">
      <c r="A49" s="42" t="s">
        <v>88</v>
      </c>
      <c r="B49" s="43"/>
      <c r="C49" s="43" t="s">
        <v>81</v>
      </c>
      <c r="D49" s="47"/>
      <c r="E49" s="48"/>
      <c r="F49" s="43"/>
      <c r="G49" s="43"/>
      <c r="H49" s="43"/>
      <c r="I49" s="43"/>
      <c r="J49" s="43"/>
      <c r="K49" s="43"/>
    </row>
    <row r="50" spans="1:11" s="46" customFormat="1" ht="12.75">
      <c r="A50" s="49"/>
      <c r="B50" s="43"/>
      <c r="C50" s="43" t="s">
        <v>82</v>
      </c>
      <c r="D50" s="47"/>
      <c r="E50" s="48"/>
      <c r="F50" s="43"/>
      <c r="G50" s="43"/>
      <c r="H50" s="43"/>
      <c r="I50" s="43"/>
      <c r="J50" s="43"/>
      <c r="K50" s="43"/>
    </row>
    <row r="51" spans="1:11" s="46" customFormat="1" ht="3" customHeight="1">
      <c r="A51" s="42"/>
      <c r="B51" s="43"/>
      <c r="C51" s="43"/>
      <c r="D51" s="67"/>
      <c r="E51" s="48"/>
      <c r="F51" s="43"/>
      <c r="G51" s="43"/>
      <c r="H51" s="43"/>
      <c r="I51" s="43"/>
      <c r="J51" s="43"/>
      <c r="K51" s="43"/>
    </row>
    <row r="52" spans="1:11" s="46" customFormat="1" ht="12.75" customHeight="1">
      <c r="A52" s="42"/>
      <c r="B52" s="43"/>
      <c r="C52" s="44" t="s">
        <v>123</v>
      </c>
      <c r="D52" s="44"/>
      <c r="E52" s="44"/>
      <c r="F52" s="44"/>
      <c r="G52" s="44"/>
      <c r="H52" s="44"/>
      <c r="I52" s="44"/>
      <c r="J52" s="44"/>
      <c r="K52" s="44"/>
    </row>
    <row r="53" spans="1:11" s="46" customFormat="1" ht="12.75">
      <c r="A53" s="42"/>
      <c r="B53" s="43"/>
      <c r="C53" s="44" t="s">
        <v>124</v>
      </c>
      <c r="D53" s="44"/>
      <c r="E53" s="44"/>
      <c r="F53" s="44"/>
      <c r="G53" s="44"/>
      <c r="H53" s="44"/>
      <c r="I53" s="44"/>
      <c r="J53" s="44"/>
      <c r="K53" s="44"/>
    </row>
    <row r="54" spans="1:11" s="46" customFormat="1" ht="12.75">
      <c r="A54" s="42"/>
      <c r="B54" s="43"/>
      <c r="C54" s="44" t="s">
        <v>125</v>
      </c>
      <c r="D54" s="44"/>
      <c r="E54" s="44"/>
      <c r="F54" s="44"/>
      <c r="G54" s="44"/>
      <c r="H54" s="44"/>
      <c r="I54" s="44"/>
      <c r="J54" s="44"/>
      <c r="K54" s="44"/>
    </row>
    <row r="55" spans="1:11" s="46" customFormat="1" ht="6" customHeight="1">
      <c r="A55" s="49"/>
      <c r="B55" s="43"/>
      <c r="C55" s="43"/>
      <c r="E55" s="47"/>
      <c r="F55" s="48"/>
      <c r="G55" s="43"/>
      <c r="H55" s="43"/>
      <c r="I55" s="43"/>
      <c r="J55" s="43"/>
      <c r="K55" s="43"/>
    </row>
    <row r="56" spans="1:11" s="46" customFormat="1" ht="12.75">
      <c r="A56" s="42" t="s">
        <v>115</v>
      </c>
      <c r="B56" s="16"/>
      <c r="C56" s="65" t="s">
        <v>126</v>
      </c>
      <c r="D56" s="16"/>
      <c r="E56" s="16"/>
      <c r="F56" s="17"/>
      <c r="G56" s="16"/>
      <c r="H56" s="16"/>
      <c r="I56" s="16"/>
      <c r="J56" s="16"/>
      <c r="K56" s="16"/>
    </row>
    <row r="57" spans="1:11" s="46" customFormat="1" ht="12.75">
      <c r="A57" s="3"/>
      <c r="B57" s="16"/>
      <c r="C57" s="66"/>
      <c r="D57" s="16"/>
      <c r="E57" s="16"/>
      <c r="F57" s="17"/>
      <c r="G57" s="16"/>
      <c r="H57" s="16"/>
      <c r="I57" s="16"/>
      <c r="J57" s="16"/>
      <c r="K57" s="16"/>
    </row>
    <row r="58" spans="1:11" ht="12.75">
      <c r="A58" s="29"/>
      <c r="B58" s="30"/>
      <c r="C58" s="30"/>
      <c r="D58" s="26"/>
      <c r="E58" s="30"/>
      <c r="F58" s="31"/>
      <c r="G58" s="30"/>
      <c r="H58" s="30"/>
      <c r="I58" s="30"/>
      <c r="J58" s="30"/>
      <c r="K58" s="30"/>
    </row>
    <row r="59" spans="1:11" s="23" customFormat="1" ht="12.75">
      <c r="A59" s="74" t="s">
        <v>31</v>
      </c>
      <c r="B59" s="75"/>
      <c r="C59" s="75"/>
      <c r="D59" s="75"/>
      <c r="E59" s="75"/>
      <c r="F59" s="75"/>
      <c r="G59" s="75"/>
      <c r="H59" s="75"/>
      <c r="I59" s="75"/>
      <c r="J59" s="75"/>
      <c r="K59" s="75"/>
    </row>
    <row r="60" ht="12.75">
      <c r="A60" s="24"/>
    </row>
    <row r="61" spans="1:9" ht="13.5">
      <c r="A61" s="32"/>
      <c r="D61" s="10" t="s">
        <v>9</v>
      </c>
      <c r="E61" s="54" t="s">
        <v>84</v>
      </c>
      <c r="F61" s="76" t="s">
        <v>90</v>
      </c>
      <c r="G61" s="76"/>
      <c r="H61" s="76"/>
      <c r="I61" s="76"/>
    </row>
    <row r="62" spans="1:9" ht="12.75">
      <c r="A62" s="35"/>
      <c r="D62" s="8" t="s">
        <v>17</v>
      </c>
      <c r="E62" s="55" t="s">
        <v>85</v>
      </c>
      <c r="F62" s="8" t="s">
        <v>91</v>
      </c>
      <c r="G62" s="56" t="s">
        <v>92</v>
      </c>
      <c r="H62" s="36"/>
      <c r="I62" s="8" t="s">
        <v>93</v>
      </c>
    </row>
    <row r="63" spans="2:9" ht="12.75">
      <c r="B63" s="39"/>
      <c r="C63" s="39"/>
      <c r="D63" s="57">
        <v>0.465</v>
      </c>
      <c r="E63" s="57">
        <v>0.1</v>
      </c>
      <c r="F63" s="57">
        <v>0.335</v>
      </c>
      <c r="G63" s="58">
        <v>0.0875</v>
      </c>
      <c r="H63" s="59"/>
      <c r="I63" s="57">
        <v>0.0125</v>
      </c>
    </row>
    <row r="64" spans="2:11" ht="12.75">
      <c r="B64" s="39"/>
      <c r="C64" s="39"/>
      <c r="D64" s="39"/>
      <c r="E64" s="26"/>
      <c r="F64" s="27"/>
      <c r="G64" s="40"/>
      <c r="H64" s="26"/>
      <c r="I64" s="40"/>
      <c r="J64" s="40"/>
      <c r="K64" s="40"/>
    </row>
    <row r="65" spans="1:11" s="23" customFormat="1" ht="12.75">
      <c r="A65" s="77" t="s">
        <v>41</v>
      </c>
      <c r="B65" s="78"/>
      <c r="C65" s="78"/>
      <c r="D65" s="78"/>
      <c r="E65" s="78"/>
      <c r="F65" s="78"/>
      <c r="G65" s="78"/>
      <c r="H65" s="78"/>
      <c r="I65" s="78"/>
      <c r="J65" s="78"/>
      <c r="K65" s="78"/>
    </row>
    <row r="66" spans="1:6" ht="12.75">
      <c r="A66" s="24"/>
      <c r="E66"/>
      <c r="F66" s="16"/>
    </row>
    <row r="67" spans="1:11" ht="54.75" customHeight="1">
      <c r="A67" s="79" t="s">
        <v>130</v>
      </c>
      <c r="B67" s="80"/>
      <c r="C67" s="80"/>
      <c r="D67" s="80"/>
      <c r="E67" s="80"/>
      <c r="F67" s="80"/>
      <c r="G67" s="80"/>
      <c r="H67" s="80"/>
      <c r="I67" s="80"/>
      <c r="J67" s="80"/>
      <c r="K67" s="80"/>
    </row>
    <row r="68" spans="1:6" ht="12.75">
      <c r="A68" s="16"/>
      <c r="E68"/>
      <c r="F68" s="16"/>
    </row>
    <row r="69" spans="2:5" ht="12.75">
      <c r="B69" s="24" t="s">
        <v>42</v>
      </c>
      <c r="C69" s="24"/>
      <c r="D69" s="24"/>
      <c r="E69" s="16">
        <v>2325592</v>
      </c>
    </row>
    <row r="70" spans="2:5" ht="12.75">
      <c r="B70" s="24" t="s">
        <v>43</v>
      </c>
      <c r="C70" s="24"/>
      <c r="D70" s="24"/>
      <c r="E70" s="16">
        <v>775198</v>
      </c>
    </row>
    <row r="71" spans="2:5" ht="12.75">
      <c r="B71" s="16" t="s">
        <v>32</v>
      </c>
      <c r="D71" s="16" t="s">
        <v>32</v>
      </c>
      <c r="E71" s="16" t="s">
        <v>32</v>
      </c>
    </row>
    <row r="72" ht="12.75">
      <c r="E72" s="16" t="s">
        <v>32</v>
      </c>
    </row>
    <row r="73" ht="12.75">
      <c r="A73" s="28" t="s">
        <v>101</v>
      </c>
    </row>
  </sheetData>
  <sheetProtection/>
  <mergeCells count="12">
    <mergeCell ref="I10:K10"/>
    <mergeCell ref="A31:K31"/>
    <mergeCell ref="A59:K59"/>
    <mergeCell ref="F61:I61"/>
    <mergeCell ref="A65:K65"/>
    <mergeCell ref="A67:K67"/>
    <mergeCell ref="A1:K1"/>
    <mergeCell ref="A2:K2"/>
    <mergeCell ref="A3:K3"/>
    <mergeCell ref="A4:K4"/>
    <mergeCell ref="A5:K5"/>
    <mergeCell ref="A8:K8"/>
  </mergeCells>
  <hyperlinks>
    <hyperlink ref="A4" r:id="rId1" display="www.saratogacasino.com"/>
  </hyperlinks>
  <printOptions horizontalCentered="1"/>
  <pageMargins left="0.25" right="0.25" top="0.75" bottom="0.5" header="0.5" footer="0.5"/>
  <pageSetup fitToHeight="1" fitToWidth="1" horizontalDpi="600" verticalDpi="600" orientation="portrait" scale="78"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6" sqref="A6"/>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10.57421875" style="17" customWidth="1"/>
    <col min="7" max="7" width="10.57421875" style="16" customWidth="1"/>
    <col min="8" max="8" width="4.00390625" style="16" customWidth="1"/>
    <col min="9" max="9" width="13.140625" style="16" customWidth="1"/>
    <col min="10" max="10" width="12.57421875" style="16" customWidth="1"/>
    <col min="11" max="11" width="12.8515625" style="16" bestFit="1" customWidth="1"/>
    <col min="12" max="12" width="12.7109375" style="0" customWidth="1"/>
  </cols>
  <sheetData>
    <row r="1" spans="1:11" ht="18">
      <c r="A1" s="70" t="s">
        <v>111</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5">
      <c r="A4" s="72" t="s">
        <v>112</v>
      </c>
      <c r="B4" s="72"/>
      <c r="C4" s="72"/>
      <c r="D4" s="72"/>
      <c r="E4" s="72"/>
      <c r="F4" s="72"/>
      <c r="G4" s="72"/>
      <c r="H4" s="72"/>
      <c r="I4" s="72"/>
      <c r="J4" s="72"/>
      <c r="K4" s="72"/>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74" t="s">
        <v>127</v>
      </c>
      <c r="B8" s="75"/>
      <c r="C8" s="75"/>
      <c r="D8" s="75"/>
      <c r="E8" s="75"/>
      <c r="F8" s="75"/>
      <c r="G8" s="75"/>
      <c r="H8" s="75"/>
      <c r="I8" s="75"/>
      <c r="J8" s="75"/>
      <c r="K8" s="75"/>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76" t="s">
        <v>5</v>
      </c>
      <c r="J10" s="76"/>
      <c r="K10" s="76"/>
    </row>
    <row r="11" spans="1:13" s="1" customFormat="1" ht="12.75">
      <c r="A11" s="3"/>
      <c r="B11" s="5"/>
      <c r="C11" s="5"/>
      <c r="D11" s="5"/>
      <c r="E11" s="5"/>
      <c r="F11" s="6"/>
      <c r="G11" s="5"/>
      <c r="H11" s="5"/>
      <c r="I11" s="5"/>
      <c r="K11" s="5"/>
      <c r="M11" s="5"/>
    </row>
    <row r="12" spans="1:11" s="12" customFormat="1" ht="12">
      <c r="A12" s="9"/>
      <c r="B12" s="10" t="s">
        <v>6</v>
      </c>
      <c r="C12" s="10" t="s">
        <v>75</v>
      </c>
      <c r="D12" s="10" t="s">
        <v>6</v>
      </c>
      <c r="E12" s="10"/>
      <c r="F12" s="11" t="s">
        <v>7</v>
      </c>
      <c r="G12" s="10" t="s">
        <v>8</v>
      </c>
      <c r="H12" s="10"/>
      <c r="I12" s="10" t="s">
        <v>9</v>
      </c>
      <c r="J12" s="10" t="s">
        <v>84</v>
      </c>
      <c r="K12" s="10" t="s">
        <v>83</v>
      </c>
    </row>
    <row r="13" spans="1:11" s="12" customFormat="1" ht="12">
      <c r="A13" s="13" t="s">
        <v>11</v>
      </c>
      <c r="B13" s="8" t="s">
        <v>12</v>
      </c>
      <c r="C13" s="8" t="s">
        <v>19</v>
      </c>
      <c r="D13" s="8" t="s">
        <v>13</v>
      </c>
      <c r="E13" s="8" t="s">
        <v>14</v>
      </c>
      <c r="F13" s="14" t="s">
        <v>15</v>
      </c>
      <c r="G13" s="8" t="s">
        <v>16</v>
      </c>
      <c r="H13" s="15"/>
      <c r="I13" s="8" t="s">
        <v>17</v>
      </c>
      <c r="J13" s="8" t="s">
        <v>85</v>
      </c>
      <c r="K13" s="8" t="s">
        <v>18</v>
      </c>
    </row>
    <row r="15" spans="1:11" ht="12.75">
      <c r="A15" s="3">
        <v>43922</v>
      </c>
      <c r="B15" s="16">
        <v>0</v>
      </c>
      <c r="C15" s="16">
        <v>0</v>
      </c>
      <c r="D15" s="63">
        <f aca="true" t="shared" si="0" ref="D15:D26">IF(ISBLANK(B15),"",B15-C15-E15)</f>
        <v>0</v>
      </c>
      <c r="E15" s="16">
        <v>0</v>
      </c>
      <c r="F15" s="27">
        <v>0</v>
      </c>
      <c r="G15" s="16">
        <v>0</v>
      </c>
      <c r="I15" s="16">
        <v>0</v>
      </c>
      <c r="J15" s="16">
        <v>0</v>
      </c>
      <c r="K15" s="16">
        <v>0</v>
      </c>
    </row>
    <row r="16" spans="1:11" ht="12.75">
      <c r="A16" s="3">
        <v>43952</v>
      </c>
      <c r="B16" s="16">
        <v>0</v>
      </c>
      <c r="C16" s="26">
        <v>0</v>
      </c>
      <c r="D16" s="63">
        <v>0</v>
      </c>
      <c r="E16" s="16">
        <v>0</v>
      </c>
      <c r="F16" s="17">
        <v>0</v>
      </c>
      <c r="G16" s="16">
        <v>0</v>
      </c>
      <c r="I16" s="16">
        <v>0</v>
      </c>
      <c r="J16" s="16">
        <v>0</v>
      </c>
      <c r="K16" s="16">
        <v>0</v>
      </c>
    </row>
    <row r="17" spans="1:11" ht="12.75">
      <c r="A17" s="3">
        <v>43983</v>
      </c>
      <c r="B17" s="16">
        <v>0</v>
      </c>
      <c r="C17" s="26">
        <v>0</v>
      </c>
      <c r="D17" s="63">
        <v>0</v>
      </c>
      <c r="E17" s="16">
        <v>0</v>
      </c>
      <c r="F17" s="17">
        <v>0</v>
      </c>
      <c r="G17" s="16">
        <v>0</v>
      </c>
      <c r="I17" s="16">
        <v>0</v>
      </c>
      <c r="J17" s="16">
        <v>0</v>
      </c>
      <c r="K17" s="16">
        <v>0</v>
      </c>
    </row>
    <row r="18" spans="1:11" ht="12.75">
      <c r="A18" s="3">
        <v>44013</v>
      </c>
      <c r="B18" s="16">
        <v>0</v>
      </c>
      <c r="C18" s="26">
        <v>0</v>
      </c>
      <c r="D18" s="63">
        <v>0</v>
      </c>
      <c r="E18" s="16">
        <v>0</v>
      </c>
      <c r="F18" s="17">
        <v>0</v>
      </c>
      <c r="G18" s="16">
        <v>0</v>
      </c>
      <c r="I18" s="16">
        <v>0</v>
      </c>
      <c r="J18" s="16">
        <v>0</v>
      </c>
      <c r="K18" s="16">
        <v>0</v>
      </c>
    </row>
    <row r="19" spans="1:11" ht="12.75">
      <c r="A19" s="3">
        <v>44044</v>
      </c>
      <c r="B19" s="16">
        <v>0</v>
      </c>
      <c r="C19" s="26">
        <v>0</v>
      </c>
      <c r="D19" s="63">
        <v>0</v>
      </c>
      <c r="E19" s="16">
        <v>0</v>
      </c>
      <c r="F19" s="17">
        <v>0</v>
      </c>
      <c r="G19" s="16">
        <v>0</v>
      </c>
      <c r="I19" s="16">
        <v>0</v>
      </c>
      <c r="J19" s="16">
        <v>0</v>
      </c>
      <c r="K19" s="16">
        <v>0</v>
      </c>
    </row>
    <row r="20" spans="1:11" ht="12.75">
      <c r="A20" s="3">
        <v>44075</v>
      </c>
      <c r="B20" s="16">
        <v>77197554.99000001</v>
      </c>
      <c r="C20" s="16">
        <v>289915.39</v>
      </c>
      <c r="D20" s="63">
        <f t="shared" si="0"/>
        <v>71517561.56</v>
      </c>
      <c r="E20" s="16">
        <v>5390078.04</v>
      </c>
      <c r="F20" s="17">
        <v>494</v>
      </c>
      <c r="G20" s="16">
        <f>_xlfn.IFERROR((E20/F20/22)," ")</f>
        <v>495.9585977180714</v>
      </c>
      <c r="I20" s="16">
        <v>2506386.27</v>
      </c>
      <c r="J20" s="16">
        <v>539007.8099999999</v>
      </c>
      <c r="K20" s="26">
        <v>2344683.9299999997</v>
      </c>
    </row>
    <row r="21" spans="1:11" ht="12.75">
      <c r="A21" s="3">
        <v>44105</v>
      </c>
      <c r="B21" s="16">
        <v>112879374.54</v>
      </c>
      <c r="C21" s="16">
        <v>687522.88</v>
      </c>
      <c r="D21" s="63">
        <f t="shared" si="0"/>
        <v>104441768.74000001</v>
      </c>
      <c r="E21" s="16">
        <v>7750082.92</v>
      </c>
      <c r="F21" s="17">
        <v>583.26</v>
      </c>
      <c r="G21" s="16">
        <f>_xlfn.IFERROR((E21/F21/31)," ")</f>
        <v>428.62989891079394</v>
      </c>
      <c r="I21" s="16">
        <v>3603788.6</v>
      </c>
      <c r="J21" s="16">
        <v>775008.29</v>
      </c>
      <c r="K21" s="16">
        <v>3371286.09</v>
      </c>
    </row>
    <row r="22" spans="1:11" ht="12.75">
      <c r="A22" s="3">
        <v>44136</v>
      </c>
      <c r="B22" s="16">
        <v>100172469.59</v>
      </c>
      <c r="C22" s="16">
        <v>923424.5400000002</v>
      </c>
      <c r="D22" s="63">
        <f t="shared" si="0"/>
        <v>92584128.78</v>
      </c>
      <c r="E22" s="16">
        <v>6664916.270000001</v>
      </c>
      <c r="F22" s="17">
        <v>621.0666666666667</v>
      </c>
      <c r="G22" s="16">
        <f>_xlfn.IFERROR((E22/F22/30)," ")</f>
        <v>357.71341079862606</v>
      </c>
      <c r="I22" s="16">
        <v>3099186.0800000005</v>
      </c>
      <c r="J22" s="16">
        <v>666491.6499999999</v>
      </c>
      <c r="K22" s="16">
        <v>2899238.5699999994</v>
      </c>
    </row>
    <row r="23" spans="1:11" ht="12.75">
      <c r="A23" s="3">
        <v>44166</v>
      </c>
      <c r="B23" s="16">
        <v>94405369.67</v>
      </c>
      <c r="C23" s="16">
        <v>840524.7399999999</v>
      </c>
      <c r="D23" s="63">
        <f t="shared" si="0"/>
        <v>87574081.51</v>
      </c>
      <c r="E23" s="16">
        <v>5990763.42</v>
      </c>
      <c r="F23" s="17">
        <v>660.06</v>
      </c>
      <c r="G23" s="16">
        <f>_xlfn.IFERROR((E23/F23/31)," ")</f>
        <v>292.77707011972524</v>
      </c>
      <c r="I23" s="16">
        <v>2785704.9999999995</v>
      </c>
      <c r="J23" s="16">
        <v>599076.3599999999</v>
      </c>
      <c r="K23" s="16">
        <v>2605982.11</v>
      </c>
    </row>
    <row r="24" spans="1:11" ht="12.75">
      <c r="A24" s="3">
        <v>44197</v>
      </c>
      <c r="B24" s="16">
        <v>102017317.8</v>
      </c>
      <c r="C24" s="16">
        <v>614029.6499999999</v>
      </c>
      <c r="D24" s="63">
        <f t="shared" si="0"/>
        <v>94221031.96</v>
      </c>
      <c r="E24" s="16">
        <v>7182256.189999998</v>
      </c>
      <c r="F24" s="17">
        <v>555</v>
      </c>
      <c r="G24" s="16">
        <f>_xlfn.IFERROR((E24/F24/31)," ")</f>
        <v>417.4516820691658</v>
      </c>
      <c r="I24" s="16">
        <v>3339749.1200000006</v>
      </c>
      <c r="J24" s="16">
        <v>718225.62</v>
      </c>
      <c r="K24" s="16">
        <v>3124281.4399999995</v>
      </c>
    </row>
    <row r="25" spans="1:11" ht="12.75">
      <c r="A25" s="3">
        <v>44228</v>
      </c>
      <c r="B25" s="16">
        <v>105818011.35000001</v>
      </c>
      <c r="C25" s="16">
        <v>570019.6</v>
      </c>
      <c r="D25" s="63">
        <f t="shared" si="0"/>
        <v>97629264.85000001</v>
      </c>
      <c r="E25" s="16">
        <v>7618726.900000001</v>
      </c>
      <c r="F25" s="17">
        <f>17924/28</f>
        <v>640.1428571428571</v>
      </c>
      <c r="G25" s="16">
        <f>_xlfn.IFERROR((E25/F25/28)," ")</f>
        <v>425.0572918991297</v>
      </c>
      <c r="I25" s="16">
        <v>3542707.99</v>
      </c>
      <c r="J25" s="16">
        <v>761872.7</v>
      </c>
      <c r="K25" s="16">
        <v>3314146.1999999997</v>
      </c>
    </row>
    <row r="26" spans="1:11" ht="12.75">
      <c r="A26" s="3">
        <v>44256</v>
      </c>
      <c r="B26" s="16">
        <v>145862172.64000005</v>
      </c>
      <c r="C26" s="16">
        <v>883078.3400000001</v>
      </c>
      <c r="D26" s="63">
        <f t="shared" si="0"/>
        <v>134373964.70000005</v>
      </c>
      <c r="E26" s="16">
        <v>10605129.600000001</v>
      </c>
      <c r="F26" s="17">
        <v>681</v>
      </c>
      <c r="G26" s="16">
        <f>_xlfn.IFERROR((E26/F26/31)," ")</f>
        <v>502.35088816256933</v>
      </c>
      <c r="I26" s="16">
        <v>4931385.26</v>
      </c>
      <c r="J26" s="16">
        <v>1060512.98</v>
      </c>
      <c r="K26" s="16">
        <v>4613231.359999999</v>
      </c>
    </row>
    <row r="27" spans="1:11" ht="13.5" thickBot="1">
      <c r="A27" s="60" t="s">
        <v>20</v>
      </c>
      <c r="B27" s="61">
        <f>SUM(B15:B26)</f>
        <v>738352270.5800002</v>
      </c>
      <c r="C27" s="61">
        <f>SUM(C15:C26)</f>
        <v>4808515.14</v>
      </c>
      <c r="D27" s="61">
        <f>SUM(D15:D26)</f>
        <v>682341802.1</v>
      </c>
      <c r="E27" s="61">
        <f>SUM(E15:E26)</f>
        <v>51201953.34</v>
      </c>
      <c r="F27" s="69">
        <f>SUM(F20:F26)/COUNT(F20:F26)</f>
        <v>604.9327891156463</v>
      </c>
      <c r="G27" s="61">
        <f>_xlfn.IFERROR(E27/F27/180," ")</f>
        <v>470.2262820786747</v>
      </c>
      <c r="H27" s="33"/>
      <c r="I27" s="61">
        <f>SUM(I15:I26)</f>
        <v>23808908.32</v>
      </c>
      <c r="J27" s="61">
        <f>SUM(J15:J26)</f>
        <v>5120195.41</v>
      </c>
      <c r="K27" s="61">
        <f>SUM(K15:K26)</f>
        <v>22272849.7</v>
      </c>
    </row>
    <row r="28" spans="2:11" ht="10.5" customHeight="1" thickTop="1">
      <c r="B28" s="19"/>
      <c r="C28" s="19"/>
      <c r="D28" s="19"/>
      <c r="E28" s="19"/>
      <c r="I28" s="19"/>
      <c r="J28" s="19"/>
      <c r="K28" s="19"/>
    </row>
    <row r="29" spans="1:11" s="22" customFormat="1" ht="12.75">
      <c r="A29" s="20"/>
      <c r="B29" s="21"/>
      <c r="C29" s="21">
        <f>_xlfn.IFERROR(C27/B27,"")</f>
        <v>0.006512494552529447</v>
      </c>
      <c r="D29" s="21">
        <f>_xlfn.IFERROR(D27/B27,"")</f>
        <v>0.924141266016556</v>
      </c>
      <c r="E29" s="21">
        <f>_xlfn.IFERROR(E27/B27,"")</f>
        <v>0.06934623943091442</v>
      </c>
      <c r="I29" s="21">
        <f>_xlfn.IFERROR(I27/$E$27,"")</f>
        <v>0.4650000003300655</v>
      </c>
      <c r="J29" s="21">
        <f>_xlfn.IFERROR(J27/$E$27,"")</f>
        <v>0.10000000148431837</v>
      </c>
      <c r="K29" s="21">
        <f>_xlfn.IFERROR(K27/$E$27,"")</f>
        <v>0.43499999994336147</v>
      </c>
    </row>
    <row r="31" spans="1:11" s="23" customFormat="1" ht="12.75">
      <c r="A31" s="74" t="s">
        <v>21</v>
      </c>
      <c r="B31" s="75"/>
      <c r="C31" s="75"/>
      <c r="D31" s="75"/>
      <c r="E31" s="75"/>
      <c r="F31" s="75"/>
      <c r="G31" s="75"/>
      <c r="H31" s="75"/>
      <c r="I31" s="75"/>
      <c r="J31" s="75"/>
      <c r="K31" s="75"/>
    </row>
    <row r="32" ht="12.75">
      <c r="A32" s="24"/>
    </row>
    <row r="33" spans="1:11" s="46" customFormat="1" ht="12.75" customHeight="1">
      <c r="A33" s="42" t="s">
        <v>22</v>
      </c>
      <c r="B33" s="43"/>
      <c r="C33" s="44" t="s">
        <v>97</v>
      </c>
      <c r="D33" s="45"/>
      <c r="E33" s="45"/>
      <c r="F33" s="45"/>
      <c r="G33" s="45"/>
      <c r="H33" s="45"/>
      <c r="I33" s="45"/>
      <c r="J33" s="45"/>
      <c r="K33" s="45"/>
    </row>
    <row r="34" spans="1:11" s="46" customFormat="1" ht="12.75" customHeight="1">
      <c r="A34" s="42"/>
      <c r="B34" s="43"/>
      <c r="C34" s="44" t="s">
        <v>98</v>
      </c>
      <c r="D34" s="45"/>
      <c r="E34" s="45"/>
      <c r="F34" s="45"/>
      <c r="G34" s="45"/>
      <c r="H34" s="45"/>
      <c r="I34" s="45"/>
      <c r="J34" s="45"/>
      <c r="K34" s="45"/>
    </row>
    <row r="35" spans="1:11" s="46" customFormat="1" ht="6" customHeight="1">
      <c r="A35" s="42"/>
      <c r="B35" s="43"/>
      <c r="C35" s="44"/>
      <c r="E35" s="45"/>
      <c r="F35" s="45"/>
      <c r="G35" s="45"/>
      <c r="H35" s="45"/>
      <c r="I35" s="45"/>
      <c r="J35" s="45"/>
      <c r="K35" s="45"/>
    </row>
    <row r="36" spans="1:11" ht="12.75">
      <c r="A36" s="25" t="s">
        <v>100</v>
      </c>
      <c r="B36" s="26"/>
      <c r="C36" s="26" t="s">
        <v>89</v>
      </c>
      <c r="F36" s="26"/>
      <c r="G36" s="26"/>
      <c r="H36" s="26"/>
      <c r="I36" s="26"/>
      <c r="J36" s="26"/>
      <c r="K36" s="26"/>
    </row>
    <row r="37" spans="1:11" s="46" customFormat="1" ht="6" customHeight="1">
      <c r="A37" s="42"/>
      <c r="B37" s="43"/>
      <c r="C37" s="43"/>
      <c r="D37" s="44"/>
      <c r="E37" s="47"/>
      <c r="F37" s="44"/>
      <c r="G37" s="44"/>
      <c r="H37" s="44"/>
      <c r="I37" s="44"/>
      <c r="J37" s="43"/>
      <c r="K37" s="43"/>
    </row>
    <row r="38" spans="1:11" s="46" customFormat="1" ht="12.75">
      <c r="A38" s="42" t="s">
        <v>23</v>
      </c>
      <c r="B38" s="43"/>
      <c r="C38" s="44" t="s">
        <v>104</v>
      </c>
      <c r="E38" s="47"/>
      <c r="F38" s="44"/>
      <c r="G38" s="44"/>
      <c r="H38" s="44"/>
      <c r="I38" s="44"/>
      <c r="J38" s="43"/>
      <c r="K38" s="43"/>
    </row>
    <row r="39" spans="1:11" s="46" customFormat="1" ht="6" customHeight="1">
      <c r="A39" s="42"/>
      <c r="B39" s="43"/>
      <c r="C39" s="43"/>
      <c r="D39" s="44"/>
      <c r="E39" s="47"/>
      <c r="F39" s="44"/>
      <c r="G39" s="44"/>
      <c r="H39" s="44"/>
      <c r="I39" s="44"/>
      <c r="J39" s="43"/>
      <c r="K39" s="43"/>
    </row>
    <row r="40" spans="1:11" s="46" customFormat="1" ht="12.75">
      <c r="A40" s="42" t="s">
        <v>25</v>
      </c>
      <c r="B40" s="43"/>
      <c r="C40" s="43" t="s">
        <v>58</v>
      </c>
      <c r="E40" s="47"/>
      <c r="F40" s="48"/>
      <c r="G40" s="43"/>
      <c r="H40" s="43"/>
      <c r="I40" s="43"/>
      <c r="J40" s="43"/>
      <c r="K40" s="43"/>
    </row>
    <row r="41" spans="1:11" s="46" customFormat="1" ht="12.75">
      <c r="A41" s="42"/>
      <c r="B41" s="43"/>
      <c r="C41" s="43" t="s">
        <v>59</v>
      </c>
      <c r="E41" s="47"/>
      <c r="F41" s="48"/>
      <c r="G41" s="43"/>
      <c r="H41" s="43"/>
      <c r="I41" s="43"/>
      <c r="J41" s="43"/>
      <c r="K41" s="43"/>
    </row>
    <row r="42" spans="1:11" s="46" customFormat="1" ht="6" customHeight="1">
      <c r="A42" s="42"/>
      <c r="B42" s="43"/>
      <c r="C42" s="43"/>
      <c r="D42" s="43"/>
      <c r="E42" s="47"/>
      <c r="F42" s="48"/>
      <c r="G42" s="43"/>
      <c r="H42" s="43"/>
      <c r="I42" s="43"/>
      <c r="J42" s="43"/>
      <c r="K42" s="43"/>
    </row>
    <row r="43" spans="1:11" s="46" customFormat="1" ht="12.75">
      <c r="A43" s="42" t="s">
        <v>28</v>
      </c>
      <c r="B43" s="43"/>
      <c r="C43" s="43" t="s">
        <v>29</v>
      </c>
      <c r="E43" s="47"/>
      <c r="F43" s="48"/>
      <c r="G43" s="43"/>
      <c r="H43" s="43"/>
      <c r="I43" s="43"/>
      <c r="J43" s="43"/>
      <c r="K43" s="43"/>
    </row>
    <row r="44" spans="1:11" s="46" customFormat="1" ht="6" customHeight="1">
      <c r="A44" s="42"/>
      <c r="B44" s="43"/>
      <c r="C44" s="43"/>
      <c r="D44" s="43"/>
      <c r="E44" s="47"/>
      <c r="F44" s="48"/>
      <c r="G44" s="43"/>
      <c r="H44" s="43"/>
      <c r="I44" s="43"/>
      <c r="J44" s="43"/>
      <c r="K44" s="43"/>
    </row>
    <row r="45" spans="1:11" s="46" customFormat="1" ht="12.75">
      <c r="A45" s="42" t="s">
        <v>76</v>
      </c>
      <c r="B45" s="43"/>
      <c r="C45" s="43" t="s">
        <v>79</v>
      </c>
      <c r="D45" s="47"/>
      <c r="E45" s="48"/>
      <c r="F45" s="43"/>
      <c r="G45" s="43"/>
      <c r="H45" s="43"/>
      <c r="I45" s="43"/>
      <c r="J45" s="43"/>
      <c r="K45" s="43"/>
    </row>
    <row r="46" spans="1:11" s="46" customFormat="1" ht="12.75">
      <c r="A46" s="42"/>
      <c r="B46" s="43"/>
      <c r="C46" s="43" t="s">
        <v>86</v>
      </c>
      <c r="D46" s="47"/>
      <c r="E46" s="48"/>
      <c r="F46" s="43"/>
      <c r="G46" s="43"/>
      <c r="H46" s="43"/>
      <c r="I46" s="43"/>
      <c r="J46" s="43"/>
      <c r="K46" s="43"/>
    </row>
    <row r="47" spans="1:11" s="46" customFormat="1" ht="12.75">
      <c r="A47" s="42"/>
      <c r="B47" s="43"/>
      <c r="C47" s="43" t="s">
        <v>87</v>
      </c>
      <c r="D47" s="47"/>
      <c r="E47" s="48"/>
      <c r="F47" s="43"/>
      <c r="G47" s="43"/>
      <c r="H47" s="43"/>
      <c r="I47" s="43"/>
      <c r="J47" s="43"/>
      <c r="K47" s="43"/>
    </row>
    <row r="48" spans="1:11" s="46" customFormat="1" ht="6" customHeight="1">
      <c r="A48" s="42"/>
      <c r="B48" s="43"/>
      <c r="C48" s="43"/>
      <c r="E48" s="47"/>
      <c r="F48" s="48"/>
      <c r="G48" s="43"/>
      <c r="H48" s="43"/>
      <c r="I48" s="43"/>
      <c r="J48" s="43"/>
      <c r="K48" s="43"/>
    </row>
    <row r="49" spans="1:11" s="46" customFormat="1" ht="12.75">
      <c r="A49" s="42" t="s">
        <v>88</v>
      </c>
      <c r="B49" s="43"/>
      <c r="C49" s="43" t="s">
        <v>81</v>
      </c>
      <c r="D49" s="47"/>
      <c r="E49" s="48"/>
      <c r="F49" s="43"/>
      <c r="G49" s="43"/>
      <c r="H49" s="43"/>
      <c r="I49" s="43"/>
      <c r="J49" s="43"/>
      <c r="K49" s="43"/>
    </row>
    <row r="50" spans="1:11" s="46" customFormat="1" ht="12.75">
      <c r="A50" s="49"/>
      <c r="B50" s="43"/>
      <c r="C50" s="43" t="s">
        <v>82</v>
      </c>
      <c r="D50" s="47"/>
      <c r="E50" s="48"/>
      <c r="F50" s="43"/>
      <c r="G50" s="43"/>
      <c r="H50" s="43"/>
      <c r="I50" s="43"/>
      <c r="J50" s="43"/>
      <c r="K50" s="43"/>
    </row>
    <row r="51" spans="1:11" s="46" customFormat="1" ht="3" customHeight="1">
      <c r="A51" s="42"/>
      <c r="B51" s="43"/>
      <c r="C51" s="43"/>
      <c r="D51" s="67"/>
      <c r="E51" s="48"/>
      <c r="F51" s="43"/>
      <c r="G51" s="43"/>
      <c r="H51" s="43"/>
      <c r="I51" s="43"/>
      <c r="J51" s="43"/>
      <c r="K51" s="43"/>
    </row>
    <row r="52" spans="1:11" s="46" customFormat="1" ht="12.75" customHeight="1">
      <c r="A52" s="42"/>
      <c r="B52" s="43"/>
      <c r="C52" s="44" t="s">
        <v>123</v>
      </c>
      <c r="D52" s="44"/>
      <c r="E52" s="44"/>
      <c r="F52" s="44"/>
      <c r="G52" s="44"/>
      <c r="H52" s="44"/>
      <c r="I52" s="44"/>
      <c r="J52" s="44"/>
      <c r="K52" s="44"/>
    </row>
    <row r="53" spans="1:11" s="46" customFormat="1" ht="12.75">
      <c r="A53" s="42"/>
      <c r="B53" s="43"/>
      <c r="C53" s="44" t="s">
        <v>124</v>
      </c>
      <c r="D53" s="44"/>
      <c r="E53" s="44"/>
      <c r="F53" s="44"/>
      <c r="G53" s="44"/>
      <c r="H53" s="44"/>
      <c r="I53" s="44"/>
      <c r="J53" s="44"/>
      <c r="K53" s="44"/>
    </row>
    <row r="54" spans="1:11" s="46" customFormat="1" ht="12.75">
      <c r="A54" s="42"/>
      <c r="B54" s="43"/>
      <c r="C54" s="44" t="s">
        <v>125</v>
      </c>
      <c r="D54" s="44"/>
      <c r="E54" s="44"/>
      <c r="F54" s="44"/>
      <c r="G54" s="44"/>
      <c r="H54" s="44"/>
      <c r="I54" s="44"/>
      <c r="J54" s="44"/>
      <c r="K54" s="44"/>
    </row>
    <row r="55" spans="1:11" s="46" customFormat="1" ht="6" customHeight="1">
      <c r="A55" s="49"/>
      <c r="B55" s="43"/>
      <c r="C55" s="43"/>
      <c r="E55" s="47"/>
      <c r="F55" s="48"/>
      <c r="G55" s="43"/>
      <c r="H55" s="43"/>
      <c r="I55" s="43"/>
      <c r="J55" s="43"/>
      <c r="K55" s="43"/>
    </row>
    <row r="56" spans="1:11" s="46" customFormat="1" ht="12.75">
      <c r="A56" s="42" t="s">
        <v>115</v>
      </c>
      <c r="B56" s="16"/>
      <c r="C56" s="65" t="s">
        <v>126</v>
      </c>
      <c r="D56" s="16"/>
      <c r="E56" s="16"/>
      <c r="F56" s="17"/>
      <c r="G56" s="16"/>
      <c r="H56" s="16"/>
      <c r="I56" s="16"/>
      <c r="J56" s="16"/>
      <c r="K56" s="16"/>
    </row>
    <row r="57" spans="1:11" s="46" customFormat="1" ht="12.75">
      <c r="A57" s="3"/>
      <c r="B57" s="16"/>
      <c r="C57" s="66"/>
      <c r="D57" s="16"/>
      <c r="E57" s="16"/>
      <c r="F57" s="17"/>
      <c r="G57" s="16"/>
      <c r="H57" s="16"/>
      <c r="I57" s="16"/>
      <c r="J57" s="16"/>
      <c r="K57" s="16"/>
    </row>
    <row r="58" spans="1:11" ht="12.75">
      <c r="A58" s="29"/>
      <c r="B58" s="30"/>
      <c r="C58" s="30"/>
      <c r="D58" s="26"/>
      <c r="E58" s="30"/>
      <c r="F58" s="31"/>
      <c r="G58" s="30"/>
      <c r="H58" s="30"/>
      <c r="I58" s="30"/>
      <c r="J58" s="30"/>
      <c r="K58" s="30"/>
    </row>
    <row r="59" spans="1:11" s="23" customFormat="1" ht="12.75">
      <c r="A59" s="74" t="s">
        <v>31</v>
      </c>
      <c r="B59" s="75"/>
      <c r="C59" s="75"/>
      <c r="D59" s="75"/>
      <c r="E59" s="75"/>
      <c r="F59" s="75"/>
      <c r="G59" s="75"/>
      <c r="H59" s="75"/>
      <c r="I59" s="75"/>
      <c r="J59" s="75"/>
      <c r="K59" s="75"/>
    </row>
    <row r="60" ht="12.75">
      <c r="A60" s="24"/>
    </row>
    <row r="61" spans="1:9" ht="13.5">
      <c r="A61" s="32"/>
      <c r="D61" s="10" t="s">
        <v>9</v>
      </c>
      <c r="E61" s="54" t="s">
        <v>84</v>
      </c>
      <c r="F61" s="76" t="s">
        <v>90</v>
      </c>
      <c r="G61" s="76"/>
      <c r="H61" s="76"/>
      <c r="I61" s="76"/>
    </row>
    <row r="62" spans="1:9" ht="12.75">
      <c r="A62" s="35"/>
      <c r="D62" s="8" t="s">
        <v>17</v>
      </c>
      <c r="E62" s="55" t="s">
        <v>85</v>
      </c>
      <c r="F62" s="8" t="s">
        <v>91</v>
      </c>
      <c r="G62" s="56" t="s">
        <v>92</v>
      </c>
      <c r="H62" s="36"/>
      <c r="I62" s="8" t="s">
        <v>93</v>
      </c>
    </row>
    <row r="63" spans="2:9" ht="12.75">
      <c r="B63" s="39"/>
      <c r="C63" s="39"/>
      <c r="D63" s="57">
        <v>0.465</v>
      </c>
      <c r="E63" s="57">
        <v>0.1</v>
      </c>
      <c r="F63" s="57">
        <v>0.335</v>
      </c>
      <c r="G63" s="58">
        <v>0.0875</v>
      </c>
      <c r="H63" s="59"/>
      <c r="I63" s="57">
        <v>0.0125</v>
      </c>
    </row>
    <row r="64" spans="2:11" ht="12.75">
      <c r="B64" s="39"/>
      <c r="C64" s="39"/>
      <c r="D64" s="39"/>
      <c r="E64" s="26"/>
      <c r="F64" s="27"/>
      <c r="G64" s="40"/>
      <c r="H64" s="26"/>
      <c r="I64" s="40"/>
      <c r="J64" s="40"/>
      <c r="K64" s="40"/>
    </row>
    <row r="65" spans="1:11" s="23" customFormat="1" ht="12.75">
      <c r="A65" s="77" t="s">
        <v>41</v>
      </c>
      <c r="B65" s="78"/>
      <c r="C65" s="78"/>
      <c r="D65" s="78"/>
      <c r="E65" s="78"/>
      <c r="F65" s="78"/>
      <c r="G65" s="78"/>
      <c r="H65" s="78"/>
      <c r="I65" s="78"/>
      <c r="J65" s="78"/>
      <c r="K65" s="78"/>
    </row>
    <row r="66" spans="1:6" ht="12.75">
      <c r="A66" s="24"/>
      <c r="E66"/>
      <c r="F66" s="16"/>
    </row>
    <row r="67" spans="1:11" ht="54.75" customHeight="1">
      <c r="A67" s="79" t="s">
        <v>128</v>
      </c>
      <c r="B67" s="80"/>
      <c r="C67" s="80"/>
      <c r="D67" s="80"/>
      <c r="E67" s="80"/>
      <c r="F67" s="80"/>
      <c r="G67" s="80"/>
      <c r="H67" s="80"/>
      <c r="I67" s="80"/>
      <c r="J67" s="80"/>
      <c r="K67" s="80"/>
    </row>
    <row r="68" spans="1:6" ht="12.75">
      <c r="A68" s="16"/>
      <c r="E68"/>
      <c r="F68" s="16"/>
    </row>
    <row r="69" spans="2:5" ht="12.75">
      <c r="B69" s="24" t="s">
        <v>42</v>
      </c>
      <c r="C69" s="24"/>
      <c r="D69" s="24"/>
      <c r="E69" s="16">
        <v>2325592</v>
      </c>
    </row>
    <row r="70" spans="2:5" ht="12.75">
      <c r="B70" s="24" t="s">
        <v>43</v>
      </c>
      <c r="C70" s="24"/>
      <c r="D70" s="24"/>
      <c r="E70" s="16">
        <v>775198</v>
      </c>
    </row>
    <row r="71" spans="2:5" ht="12.75">
      <c r="B71" s="16" t="s">
        <v>32</v>
      </c>
      <c r="D71" s="16" t="s">
        <v>32</v>
      </c>
      <c r="E71" s="16" t="s">
        <v>32</v>
      </c>
    </row>
    <row r="72" ht="12.75">
      <c r="E72" s="16" t="s">
        <v>32</v>
      </c>
    </row>
    <row r="73" ht="12.75">
      <c r="A73" s="28" t="s">
        <v>101</v>
      </c>
    </row>
  </sheetData>
  <sheetProtection/>
  <mergeCells count="12">
    <mergeCell ref="A1:K1"/>
    <mergeCell ref="A2:K2"/>
    <mergeCell ref="A3:K3"/>
    <mergeCell ref="A4:K4"/>
    <mergeCell ref="A5:K5"/>
    <mergeCell ref="A8:K8"/>
    <mergeCell ref="I10:K10"/>
    <mergeCell ref="A31:K31"/>
    <mergeCell ref="A59:K59"/>
    <mergeCell ref="F61:I61"/>
    <mergeCell ref="A65:K65"/>
    <mergeCell ref="A67:K67"/>
  </mergeCells>
  <hyperlinks>
    <hyperlink ref="A4" r:id="rId1" display="www.saratogacasino.com"/>
  </hyperlinks>
  <printOptions horizontalCentered="1"/>
  <pageMargins left="0.25" right="0.25" top="0.75" bottom="0.5" header="0.5" footer="0.5"/>
  <pageSetup fitToHeight="1" fitToWidth="1" horizontalDpi="600" verticalDpi="600" orientation="portrait" scale="78"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B29" sqref="B29"/>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10.57421875" style="17" customWidth="1"/>
    <col min="7" max="7" width="10.57421875" style="16" customWidth="1"/>
    <col min="8" max="8" width="4.00390625" style="16" customWidth="1"/>
    <col min="9" max="9" width="13.140625" style="16" customWidth="1"/>
    <col min="10" max="10" width="12.57421875" style="16" customWidth="1"/>
    <col min="11" max="11" width="12.8515625" style="16" bestFit="1" customWidth="1"/>
    <col min="12" max="12" width="12.7109375" style="0" customWidth="1"/>
  </cols>
  <sheetData>
    <row r="1" spans="1:11" ht="18">
      <c r="A1" s="70" t="s">
        <v>111</v>
      </c>
      <c r="B1" s="70"/>
      <c r="C1" s="70"/>
      <c r="D1" s="70"/>
      <c r="E1" s="70"/>
      <c r="F1" s="70"/>
      <c r="G1" s="70"/>
      <c r="H1" s="70"/>
      <c r="I1" s="70"/>
      <c r="J1" s="70"/>
      <c r="K1" s="70"/>
    </row>
    <row r="2" spans="1:11" ht="15">
      <c r="A2" s="71" t="s">
        <v>1</v>
      </c>
      <c r="B2" s="71"/>
      <c r="C2" s="71"/>
      <c r="D2" s="71"/>
      <c r="E2" s="71"/>
      <c r="F2" s="71"/>
      <c r="G2" s="71"/>
      <c r="H2" s="71"/>
      <c r="I2" s="71"/>
      <c r="J2" s="71"/>
      <c r="K2" s="71"/>
    </row>
    <row r="3" spans="1:11" s="1" customFormat="1" ht="15">
      <c r="A3" s="71" t="s">
        <v>2</v>
      </c>
      <c r="B3" s="71"/>
      <c r="C3" s="71"/>
      <c r="D3" s="71"/>
      <c r="E3" s="71"/>
      <c r="F3" s="71"/>
      <c r="G3" s="71"/>
      <c r="H3" s="71"/>
      <c r="I3" s="71"/>
      <c r="J3" s="71"/>
      <c r="K3" s="71"/>
    </row>
    <row r="4" spans="1:11" s="1" customFormat="1" ht="15">
      <c r="A4" s="72" t="s">
        <v>112</v>
      </c>
      <c r="B4" s="72"/>
      <c r="C4" s="72"/>
      <c r="D4" s="72"/>
      <c r="E4" s="72"/>
      <c r="F4" s="72"/>
      <c r="G4" s="72"/>
      <c r="H4" s="72"/>
      <c r="I4" s="72"/>
      <c r="J4" s="72"/>
      <c r="K4" s="72"/>
    </row>
    <row r="5" spans="1:11" s="1" customFormat="1" ht="14.25">
      <c r="A5" s="73" t="s">
        <v>4</v>
      </c>
      <c r="B5" s="73"/>
      <c r="C5" s="73"/>
      <c r="D5" s="73"/>
      <c r="E5" s="73"/>
      <c r="F5" s="73"/>
      <c r="G5" s="73"/>
      <c r="H5" s="73"/>
      <c r="I5" s="73"/>
      <c r="J5" s="73"/>
      <c r="K5" s="73"/>
    </row>
    <row r="6" spans="1:11" s="1" customFormat="1" ht="14.25">
      <c r="A6" s="2"/>
      <c r="B6" s="2"/>
      <c r="C6" s="2"/>
      <c r="D6" s="2"/>
      <c r="E6" s="2"/>
      <c r="F6" s="2"/>
      <c r="G6" s="2"/>
      <c r="H6" s="2"/>
      <c r="I6" s="2"/>
      <c r="J6" s="2"/>
      <c r="K6" s="2"/>
    </row>
    <row r="7" spans="1:11" s="1" customFormat="1" ht="12.75">
      <c r="A7" s="3"/>
      <c r="B7" s="4"/>
      <c r="C7" s="4"/>
      <c r="D7" s="4"/>
      <c r="E7" s="5"/>
      <c r="F7" s="6"/>
      <c r="G7" s="5"/>
      <c r="H7" s="5"/>
      <c r="I7" s="5"/>
      <c r="J7" s="5"/>
      <c r="K7" s="5"/>
    </row>
    <row r="8" spans="1:11" s="7" customFormat="1" ht="14.25" customHeight="1">
      <c r="A8" s="74" t="s">
        <v>118</v>
      </c>
      <c r="B8" s="75"/>
      <c r="C8" s="75"/>
      <c r="D8" s="75"/>
      <c r="E8" s="75"/>
      <c r="F8" s="75"/>
      <c r="G8" s="75"/>
      <c r="H8" s="75"/>
      <c r="I8" s="75"/>
      <c r="J8" s="75"/>
      <c r="K8" s="75"/>
    </row>
    <row r="9" spans="1:11" s="1" customFormat="1" ht="9" customHeight="1">
      <c r="A9" s="3"/>
      <c r="B9" s="4"/>
      <c r="C9" s="4"/>
      <c r="D9" s="4"/>
      <c r="E9" s="5"/>
      <c r="F9" s="6"/>
      <c r="G9" s="5"/>
      <c r="H9" s="5"/>
      <c r="I9" s="5"/>
      <c r="J9" s="5"/>
      <c r="K9" s="5"/>
    </row>
    <row r="10" spans="1:11" s="1" customFormat="1" ht="12.75">
      <c r="A10" s="3"/>
      <c r="B10" s="5"/>
      <c r="C10" s="5"/>
      <c r="D10" s="5"/>
      <c r="E10" s="5"/>
      <c r="F10" s="6"/>
      <c r="G10" s="5"/>
      <c r="H10" s="5"/>
      <c r="I10" s="76" t="s">
        <v>5</v>
      </c>
      <c r="J10" s="76"/>
      <c r="K10" s="76"/>
    </row>
    <row r="11" spans="1:13" s="1" customFormat="1" ht="12.75">
      <c r="A11" s="3"/>
      <c r="B11" s="5"/>
      <c r="C11" s="5"/>
      <c r="D11" s="5"/>
      <c r="E11" s="5"/>
      <c r="F11" s="6"/>
      <c r="G11" s="5"/>
      <c r="H11" s="5"/>
      <c r="I11" s="5"/>
      <c r="K11" s="5"/>
      <c r="M11" s="5"/>
    </row>
    <row r="12" spans="1:11" s="12" customFormat="1" ht="12">
      <c r="A12" s="9"/>
      <c r="B12" s="10" t="s">
        <v>6</v>
      </c>
      <c r="C12" s="10" t="s">
        <v>75</v>
      </c>
      <c r="D12" s="10" t="s">
        <v>6</v>
      </c>
      <c r="E12" s="10"/>
      <c r="F12" s="11" t="s">
        <v>7</v>
      </c>
      <c r="G12" s="10" t="s">
        <v>8</v>
      </c>
      <c r="H12" s="10"/>
      <c r="I12" s="10" t="s">
        <v>9</v>
      </c>
      <c r="J12" s="10" t="s">
        <v>84</v>
      </c>
      <c r="K12" s="10" t="s">
        <v>83</v>
      </c>
    </row>
    <row r="13" spans="1:11" s="12" customFormat="1" ht="12">
      <c r="A13" s="13" t="s">
        <v>11</v>
      </c>
      <c r="B13" s="8" t="s">
        <v>12</v>
      </c>
      <c r="C13" s="8" t="s">
        <v>19</v>
      </c>
      <c r="D13" s="8" t="s">
        <v>13</v>
      </c>
      <c r="E13" s="8" t="s">
        <v>14</v>
      </c>
      <c r="F13" s="14" t="s">
        <v>15</v>
      </c>
      <c r="G13" s="8" t="s">
        <v>16</v>
      </c>
      <c r="H13" s="15"/>
      <c r="I13" s="8" t="s">
        <v>17</v>
      </c>
      <c r="J13" s="8" t="s">
        <v>85</v>
      </c>
      <c r="K13" s="8" t="s">
        <v>18</v>
      </c>
    </row>
    <row r="15" spans="1:11" ht="12.75">
      <c r="A15" s="3">
        <v>43556</v>
      </c>
      <c r="B15" s="16">
        <v>155762359.24</v>
      </c>
      <c r="C15" s="16">
        <f>1470050.34-42900</f>
        <v>1427150.34</v>
      </c>
      <c r="D15" s="63">
        <f aca="true" t="shared" si="0" ref="D15:D26">IF(ISBLANK(B15),"",B15-C15-E15)</f>
        <v>143787501.62</v>
      </c>
      <c r="E15" s="16">
        <v>10547707.28</v>
      </c>
      <c r="F15" s="27">
        <f>48914/30</f>
        <v>1630.4666666666667</v>
      </c>
      <c r="G15" s="16">
        <f>_xlfn.IFERROR((E15/F15/30)," ")</f>
        <v>215.63779858527207</v>
      </c>
      <c r="I15" s="16">
        <v>5125589.45</v>
      </c>
      <c r="J15" s="16">
        <v>1054770.75</v>
      </c>
      <c r="K15" s="16">
        <v>4367347.11</v>
      </c>
    </row>
    <row r="16" spans="1:11" ht="12.75">
      <c r="A16" s="3">
        <v>43586</v>
      </c>
      <c r="B16" s="16">
        <v>161886009.34</v>
      </c>
      <c r="C16" s="26">
        <f>1630755.81-45674</f>
        <v>1585081.81</v>
      </c>
      <c r="D16" s="63">
        <f t="shared" si="0"/>
        <v>149223937.41</v>
      </c>
      <c r="E16" s="16">
        <v>11076990.12</v>
      </c>
      <c r="F16" s="17">
        <f>47161/31</f>
        <v>1521.3225806451612</v>
      </c>
      <c r="G16" s="16">
        <f>_xlfn.IFERROR((E16/F16/31)," ")</f>
        <v>234.8760653930154</v>
      </c>
      <c r="I16" s="16">
        <v>5593880.01</v>
      </c>
      <c r="J16" s="16">
        <v>1107699.02</v>
      </c>
      <c r="K16" s="16">
        <v>4375411.11</v>
      </c>
    </row>
    <row r="17" spans="1:11" ht="12.75">
      <c r="A17" s="3">
        <v>43617</v>
      </c>
      <c r="B17" s="16">
        <v>157468164.33</v>
      </c>
      <c r="C17" s="16">
        <f>1573447.95-43585</f>
        <v>1529862.95</v>
      </c>
      <c r="D17" s="63">
        <f t="shared" si="0"/>
        <v>145118908.55</v>
      </c>
      <c r="E17" s="16">
        <v>10819392.83</v>
      </c>
      <c r="F17" s="17">
        <f>42588/30</f>
        <v>1419.6</v>
      </c>
      <c r="G17" s="16">
        <f>_xlfn.IFERROR((E17/F17/30)," ")</f>
        <v>254.04792030618955</v>
      </c>
      <c r="I17" s="16">
        <v>5463793.36</v>
      </c>
      <c r="J17" s="16">
        <v>1081939.28</v>
      </c>
      <c r="K17" s="16">
        <v>4273660.16</v>
      </c>
    </row>
    <row r="18" spans="1:11" ht="12.75">
      <c r="A18" s="3">
        <v>43647</v>
      </c>
      <c r="B18" s="16">
        <v>168249686.36</v>
      </c>
      <c r="C18" s="16">
        <f>1651034.1-46100</f>
        <v>1604934.1</v>
      </c>
      <c r="D18" s="63">
        <f t="shared" si="0"/>
        <v>155494323.99</v>
      </c>
      <c r="E18" s="16">
        <v>11150428.27</v>
      </c>
      <c r="F18" s="17">
        <f>43958/31</f>
        <v>1418</v>
      </c>
      <c r="G18" s="16">
        <f aca="true" t="shared" si="1" ref="G18:G24">_xlfn.IFERROR((E18/F18/31)," ")</f>
        <v>253.66095522999225</v>
      </c>
      <c r="I18" s="16">
        <v>5630966.27</v>
      </c>
      <c r="J18" s="16">
        <v>1115042.82</v>
      </c>
      <c r="K18" s="16">
        <v>4404419.16</v>
      </c>
    </row>
    <row r="19" spans="1:11" ht="12.75">
      <c r="A19" s="3">
        <v>43678</v>
      </c>
      <c r="B19" s="16">
        <v>188255498.21999997</v>
      </c>
      <c r="C19" s="16">
        <v>1660375.07</v>
      </c>
      <c r="D19" s="63">
        <f t="shared" si="0"/>
        <v>174115960.93999997</v>
      </c>
      <c r="E19" s="16">
        <v>12479162.209999995</v>
      </c>
      <c r="F19" s="17">
        <f>43958/31</f>
        <v>1418</v>
      </c>
      <c r="G19" s="16">
        <f t="shared" si="1"/>
        <v>283.88830724782736</v>
      </c>
      <c r="I19" s="16">
        <v>6301976.92</v>
      </c>
      <c r="J19" s="16">
        <v>1247916.24</v>
      </c>
      <c r="K19" s="16">
        <v>4929269.1</v>
      </c>
    </row>
    <row r="20" spans="1:11" ht="12.75">
      <c r="A20" s="3">
        <v>43709</v>
      </c>
      <c r="B20" s="16">
        <v>158284998.95000005</v>
      </c>
      <c r="C20" s="16">
        <v>1507524.43</v>
      </c>
      <c r="D20" s="63">
        <f t="shared" si="0"/>
        <v>146017974.90999997</v>
      </c>
      <c r="E20" s="16">
        <v>10759499.61000006</v>
      </c>
      <c r="F20" s="17">
        <f>42540/30</f>
        <v>1418</v>
      </c>
      <c r="G20" s="16">
        <f>_xlfn.IFERROR((E20/F20/30)," ")</f>
        <v>252.92664809591116</v>
      </c>
      <c r="I20" s="16">
        <v>5433547.303050031</v>
      </c>
      <c r="J20" s="16">
        <v>1075949.9610000062</v>
      </c>
      <c r="K20" s="26">
        <v>4250002.345950024</v>
      </c>
    </row>
    <row r="21" spans="1:11" ht="12.75">
      <c r="A21" s="3">
        <v>43739</v>
      </c>
      <c r="B21" s="16">
        <v>159844071.33999997</v>
      </c>
      <c r="C21" s="16">
        <v>1503798.01</v>
      </c>
      <c r="D21" s="63">
        <f t="shared" si="0"/>
        <v>147866529.97</v>
      </c>
      <c r="E21" s="16">
        <v>10473743.35999998</v>
      </c>
      <c r="F21" s="17">
        <f>43502/31</f>
        <v>1403.2903225806451</v>
      </c>
      <c r="G21" s="16">
        <f t="shared" si="1"/>
        <v>240.764639786676</v>
      </c>
      <c r="I21" s="16">
        <v>5289240.390000001</v>
      </c>
      <c r="J21" s="16">
        <v>1047374.3400000001</v>
      </c>
      <c r="K21" s="16">
        <v>4137128.6299999994</v>
      </c>
    </row>
    <row r="22" spans="1:11" ht="12.75">
      <c r="A22" s="3">
        <v>43770</v>
      </c>
      <c r="B22" s="16">
        <v>145184332.24999997</v>
      </c>
      <c r="C22" s="16">
        <v>1350456.2799999998</v>
      </c>
      <c r="D22" s="63">
        <f t="shared" si="0"/>
        <v>133979261.45999996</v>
      </c>
      <c r="E22" s="16">
        <v>9854614.51</v>
      </c>
      <c r="F22" s="17">
        <f>39288/30</f>
        <v>1309.6</v>
      </c>
      <c r="G22" s="16">
        <f>_xlfn.IFERROR((E22/F22/30)," ")</f>
        <v>250.8301392282631</v>
      </c>
      <c r="I22" s="16">
        <v>4976580.32</v>
      </c>
      <c r="J22" s="16">
        <v>985461.46</v>
      </c>
      <c r="K22" s="16">
        <v>3892572.7399999993</v>
      </c>
    </row>
    <row r="23" spans="1:11" ht="12.75">
      <c r="A23" s="3">
        <v>43800</v>
      </c>
      <c r="B23" s="16">
        <v>139416409.73999998</v>
      </c>
      <c r="C23" s="16">
        <v>1377580.66</v>
      </c>
      <c r="D23" s="63">
        <f t="shared" si="0"/>
        <v>128692361.34999998</v>
      </c>
      <c r="E23" s="16">
        <v>9346467.73</v>
      </c>
      <c r="F23" s="17">
        <f>41087/31</f>
        <v>1325.3870967741937</v>
      </c>
      <c r="G23" s="16">
        <f t="shared" si="1"/>
        <v>227.4799262540463</v>
      </c>
      <c r="I23" s="16">
        <v>4719966.200000001</v>
      </c>
      <c r="J23" s="16">
        <v>934646.81</v>
      </c>
      <c r="K23" s="16">
        <v>3691854.7399999993</v>
      </c>
    </row>
    <row r="24" spans="1:11" ht="12.75">
      <c r="A24" s="3">
        <v>43831</v>
      </c>
      <c r="B24" s="16">
        <v>147575449.34</v>
      </c>
      <c r="C24" s="16">
        <v>1444472.1</v>
      </c>
      <c r="D24" s="63">
        <f t="shared" si="0"/>
        <v>136294633.27</v>
      </c>
      <c r="E24" s="16">
        <v>9836343.97</v>
      </c>
      <c r="F24" s="17">
        <f>39463/31</f>
        <v>1273</v>
      </c>
      <c r="G24" s="16">
        <f t="shared" si="1"/>
        <v>249.25484555152929</v>
      </c>
      <c r="I24" s="16">
        <v>4967353.68</v>
      </c>
      <c r="J24" s="16">
        <v>983634.39</v>
      </c>
      <c r="K24" s="16">
        <v>3885355.88</v>
      </c>
    </row>
    <row r="25" spans="1:11" ht="12.75">
      <c r="A25" s="3">
        <v>43862</v>
      </c>
      <c r="B25" s="16">
        <v>147714595.09</v>
      </c>
      <c r="C25" s="16">
        <v>1386940.5499999998</v>
      </c>
      <c r="D25" s="63">
        <f t="shared" si="0"/>
        <v>136262247.53</v>
      </c>
      <c r="E25" s="16">
        <v>10065407.009999998</v>
      </c>
      <c r="F25" s="17">
        <f>34202/29</f>
        <v>1179.3793103448277</v>
      </c>
      <c r="G25" s="16">
        <f>_xlfn.IFERROR((E25/F25/29)," ")</f>
        <v>294.2929363779895</v>
      </c>
      <c r="I25" s="16">
        <v>5083030.510000001</v>
      </c>
      <c r="J25" s="16">
        <v>1006540.7000000003</v>
      </c>
      <c r="K25" s="16">
        <v>3975835.77</v>
      </c>
    </row>
    <row r="26" spans="1:11" ht="12.75">
      <c r="A26" s="3">
        <v>43891</v>
      </c>
      <c r="B26" s="16">
        <v>71221859.48</v>
      </c>
      <c r="C26" s="16">
        <v>697328.63</v>
      </c>
      <c r="D26" s="63">
        <f t="shared" si="0"/>
        <v>65815818.80000001</v>
      </c>
      <c r="E26" s="16">
        <v>4708712.050000001</v>
      </c>
      <c r="F26" s="17">
        <f>17514/16</f>
        <v>1094.625</v>
      </c>
      <c r="G26" s="16">
        <f>_xlfn.IFERROR((E26/F26/16)," ")</f>
        <v>268.8541766586731</v>
      </c>
      <c r="I26" s="16">
        <v>2377899.59</v>
      </c>
      <c r="J26" s="16">
        <v>470871.22000000003</v>
      </c>
      <c r="K26" s="16">
        <v>1859941.2500000002</v>
      </c>
    </row>
    <row r="27" spans="1:11" ht="13.5" thickBot="1">
      <c r="A27" s="60" t="s">
        <v>20</v>
      </c>
      <c r="B27" s="61">
        <f>SUM(B15:B26)</f>
        <v>1800863433.6799998</v>
      </c>
      <c r="C27" s="61">
        <f>SUM(C15:C26)</f>
        <v>17075504.93</v>
      </c>
      <c r="D27" s="61">
        <f>SUM(D15:D26)</f>
        <v>1662669459.7999997</v>
      </c>
      <c r="E27" s="61">
        <f>SUM(E15:E26)</f>
        <v>121118468.95000003</v>
      </c>
      <c r="F27" s="62">
        <f>_xlfn.IFERROR(AVERAGE(F15:F26),"")</f>
        <v>1367.5559147509582</v>
      </c>
      <c r="G27" s="61">
        <f>E27/F27/351</f>
        <v>252.32376927582692</v>
      </c>
      <c r="H27" s="33"/>
      <c r="I27" s="61">
        <f>SUM(I15:I26)</f>
        <v>60963824.00305003</v>
      </c>
      <c r="J27" s="61">
        <f>SUM(J15:J26)</f>
        <v>12111846.99100001</v>
      </c>
      <c r="K27" s="61">
        <f>SUM(K15:K26)</f>
        <v>48042797.99595003</v>
      </c>
    </row>
    <row r="28" spans="2:11" ht="10.5" customHeight="1" thickTop="1">
      <c r="B28" s="19"/>
      <c r="C28" s="19"/>
      <c r="D28" s="19"/>
      <c r="E28" s="19"/>
      <c r="I28" s="19"/>
      <c r="J28" s="19"/>
      <c r="K28" s="19"/>
    </row>
    <row r="29" spans="1:11" s="22" customFormat="1" ht="12.75">
      <c r="A29" s="20"/>
      <c r="B29" s="21"/>
      <c r="C29" s="21">
        <f>_xlfn.IFERROR(C27/B27,"")</f>
        <v>0.00948184332617983</v>
      </c>
      <c r="D29" s="21">
        <f>_xlfn.IFERROR(D27/B27,"")</f>
        <v>0.9232623799809152</v>
      </c>
      <c r="E29" s="21">
        <f>_xlfn.IFERROR(E27/B27,"")</f>
        <v>0.0672557766929049</v>
      </c>
      <c r="I29" s="21">
        <f>_xlfn.IFERROR(I27/$E$27,"")</f>
        <v>0.5033404445379592</v>
      </c>
      <c r="J29" s="21">
        <f>_xlfn.IFERROR(J27/$E$27,"")</f>
        <v>0.10000000079261245</v>
      </c>
      <c r="K29" s="21">
        <f>_xlfn.IFERROR(K27/$E$27,"")</f>
        <v>0.39665955499968375</v>
      </c>
    </row>
    <row r="31" spans="1:11" s="23" customFormat="1" ht="12.75">
      <c r="A31" s="74" t="s">
        <v>21</v>
      </c>
      <c r="B31" s="75"/>
      <c r="C31" s="75"/>
      <c r="D31" s="75"/>
      <c r="E31" s="75"/>
      <c r="F31" s="75"/>
      <c r="G31" s="75"/>
      <c r="H31" s="75"/>
      <c r="I31" s="75"/>
      <c r="J31" s="75"/>
      <c r="K31" s="75"/>
    </row>
    <row r="32" ht="12.75">
      <c r="A32" s="24"/>
    </row>
    <row r="33" spans="1:11" s="46" customFormat="1" ht="12.75" customHeight="1">
      <c r="A33" s="42" t="s">
        <v>22</v>
      </c>
      <c r="B33" s="43"/>
      <c r="C33" s="44" t="s">
        <v>97</v>
      </c>
      <c r="D33" s="45"/>
      <c r="E33" s="45"/>
      <c r="F33" s="45"/>
      <c r="G33" s="45"/>
      <c r="H33" s="45"/>
      <c r="I33" s="45"/>
      <c r="J33" s="45"/>
      <c r="K33" s="45"/>
    </row>
    <row r="34" spans="1:11" s="46" customFormat="1" ht="12.75" customHeight="1">
      <c r="A34" s="42"/>
      <c r="B34" s="43"/>
      <c r="C34" s="44" t="s">
        <v>98</v>
      </c>
      <c r="D34" s="45"/>
      <c r="E34" s="45"/>
      <c r="F34" s="45"/>
      <c r="G34" s="45"/>
      <c r="H34" s="45"/>
      <c r="I34" s="45"/>
      <c r="J34" s="45"/>
      <c r="K34" s="45"/>
    </row>
    <row r="35" spans="1:11" s="46" customFormat="1" ht="6" customHeight="1">
      <c r="A35" s="42"/>
      <c r="B35" s="43"/>
      <c r="C35" s="44"/>
      <c r="E35" s="45"/>
      <c r="F35" s="45"/>
      <c r="G35" s="45"/>
      <c r="H35" s="45"/>
      <c r="I35" s="45"/>
      <c r="J35" s="45"/>
      <c r="K35" s="45"/>
    </row>
    <row r="36" spans="1:11" ht="12.75">
      <c r="A36" s="25" t="s">
        <v>100</v>
      </c>
      <c r="B36" s="26"/>
      <c r="C36" s="26" t="s">
        <v>89</v>
      </c>
      <c r="F36" s="26"/>
      <c r="G36" s="26"/>
      <c r="H36" s="26"/>
      <c r="I36" s="26"/>
      <c r="J36" s="26"/>
      <c r="K36" s="26"/>
    </row>
    <row r="37" spans="1:11" s="46" customFormat="1" ht="6" customHeight="1">
      <c r="A37" s="42"/>
      <c r="B37" s="43"/>
      <c r="C37" s="43"/>
      <c r="D37" s="44"/>
      <c r="E37" s="47"/>
      <c r="F37" s="44"/>
      <c r="G37" s="44"/>
      <c r="H37" s="44"/>
      <c r="I37" s="44"/>
      <c r="J37" s="43"/>
      <c r="K37" s="43"/>
    </row>
    <row r="38" spans="1:11" s="46" customFormat="1" ht="12.75">
      <c r="A38" s="42" t="s">
        <v>23</v>
      </c>
      <c r="B38" s="43"/>
      <c r="C38" s="44" t="s">
        <v>104</v>
      </c>
      <c r="E38" s="47"/>
      <c r="F38" s="44"/>
      <c r="G38" s="44"/>
      <c r="H38" s="44"/>
      <c r="I38" s="44"/>
      <c r="J38" s="43"/>
      <c r="K38" s="43"/>
    </row>
    <row r="39" spans="1:11" s="46" customFormat="1" ht="6" customHeight="1">
      <c r="A39" s="42"/>
      <c r="B39" s="43"/>
      <c r="C39" s="43"/>
      <c r="D39" s="44"/>
      <c r="E39" s="47"/>
      <c r="F39" s="44"/>
      <c r="G39" s="44"/>
      <c r="H39" s="44"/>
      <c r="I39" s="44"/>
      <c r="J39" s="43"/>
      <c r="K39" s="43"/>
    </row>
    <row r="40" spans="1:11" s="46" customFormat="1" ht="12.75">
      <c r="A40" s="42" t="s">
        <v>25</v>
      </c>
      <c r="B40" s="43"/>
      <c r="C40" s="43" t="s">
        <v>58</v>
      </c>
      <c r="E40" s="47"/>
      <c r="F40" s="48"/>
      <c r="G40" s="43"/>
      <c r="H40" s="43"/>
      <c r="I40" s="43"/>
      <c r="J40" s="43"/>
      <c r="K40" s="43"/>
    </row>
    <row r="41" spans="1:11" s="46" customFormat="1" ht="12.75">
      <c r="A41" s="42"/>
      <c r="B41" s="43"/>
      <c r="C41" s="43" t="s">
        <v>59</v>
      </c>
      <c r="E41" s="47"/>
      <c r="F41" s="48"/>
      <c r="G41" s="43"/>
      <c r="H41" s="43"/>
      <c r="I41" s="43"/>
      <c r="J41" s="43"/>
      <c r="K41" s="43"/>
    </row>
    <row r="42" spans="1:11" s="46" customFormat="1" ht="6" customHeight="1">
      <c r="A42" s="42"/>
      <c r="B42" s="43"/>
      <c r="C42" s="43"/>
      <c r="D42" s="43"/>
      <c r="E42" s="47"/>
      <c r="F42" s="48"/>
      <c r="G42" s="43"/>
      <c r="H42" s="43"/>
      <c r="I42" s="43"/>
      <c r="J42" s="43"/>
      <c r="K42" s="43"/>
    </row>
    <row r="43" spans="1:11" s="46" customFormat="1" ht="12.75">
      <c r="A43" s="42" t="s">
        <v>28</v>
      </c>
      <c r="B43" s="43"/>
      <c r="C43" s="43" t="s">
        <v>29</v>
      </c>
      <c r="E43" s="47"/>
      <c r="F43" s="48"/>
      <c r="G43" s="43"/>
      <c r="H43" s="43"/>
      <c r="I43" s="43"/>
      <c r="J43" s="43"/>
      <c r="K43" s="43"/>
    </row>
    <row r="44" spans="1:11" s="46" customFormat="1" ht="6" customHeight="1">
      <c r="A44" s="42"/>
      <c r="B44" s="43"/>
      <c r="C44" s="43"/>
      <c r="D44" s="43"/>
      <c r="E44" s="47"/>
      <c r="F44" s="48"/>
      <c r="G44" s="43"/>
      <c r="H44" s="43"/>
      <c r="I44" s="43"/>
      <c r="J44" s="43"/>
      <c r="K44" s="43"/>
    </row>
    <row r="45" spans="1:11" s="46" customFormat="1" ht="12.75">
      <c r="A45" s="42" t="s">
        <v>76</v>
      </c>
      <c r="B45" s="43"/>
      <c r="C45" s="43" t="s">
        <v>79</v>
      </c>
      <c r="D45" s="47"/>
      <c r="E45" s="48"/>
      <c r="F45" s="43"/>
      <c r="G45" s="43"/>
      <c r="H45" s="43"/>
      <c r="I45" s="43"/>
      <c r="J45" s="43"/>
      <c r="K45" s="43"/>
    </row>
    <row r="46" spans="1:11" s="46" customFormat="1" ht="12.75">
      <c r="A46" s="42"/>
      <c r="B46" s="43"/>
      <c r="C46" s="43" t="s">
        <v>86</v>
      </c>
      <c r="D46" s="47"/>
      <c r="E46" s="48"/>
      <c r="F46" s="43"/>
      <c r="G46" s="43"/>
      <c r="H46" s="43"/>
      <c r="I46" s="43"/>
      <c r="J46" s="43"/>
      <c r="K46" s="43"/>
    </row>
    <row r="47" spans="1:11" s="46" customFormat="1" ht="12.75">
      <c r="A47" s="42"/>
      <c r="B47" s="43"/>
      <c r="C47" s="43" t="s">
        <v>87</v>
      </c>
      <c r="D47" s="47"/>
      <c r="E47" s="48"/>
      <c r="F47" s="43"/>
      <c r="G47" s="43"/>
      <c r="H47" s="43"/>
      <c r="I47" s="43"/>
      <c r="J47" s="43"/>
      <c r="K47" s="43"/>
    </row>
    <row r="48" spans="1:11" s="46" customFormat="1" ht="6" customHeight="1">
      <c r="A48" s="42"/>
      <c r="B48" s="43"/>
      <c r="C48" s="43"/>
      <c r="E48" s="47"/>
      <c r="F48" s="48"/>
      <c r="G48" s="43"/>
      <c r="H48" s="43"/>
      <c r="I48" s="43"/>
      <c r="J48" s="43"/>
      <c r="K48" s="43"/>
    </row>
    <row r="49" spans="1:11" s="46" customFormat="1" ht="12.75">
      <c r="A49" s="42" t="s">
        <v>88</v>
      </c>
      <c r="B49" s="43"/>
      <c r="C49" s="43" t="s">
        <v>81</v>
      </c>
      <c r="D49" s="47"/>
      <c r="E49" s="48"/>
      <c r="F49" s="43"/>
      <c r="G49" s="43"/>
      <c r="H49" s="43"/>
      <c r="I49" s="43"/>
      <c r="J49" s="43"/>
      <c r="K49" s="43"/>
    </row>
    <row r="50" spans="1:11" s="46" customFormat="1" ht="12.75">
      <c r="A50" s="49"/>
      <c r="B50" s="43"/>
      <c r="C50" s="43" t="s">
        <v>82</v>
      </c>
      <c r="D50" s="47"/>
      <c r="E50" s="48"/>
      <c r="F50" s="43"/>
      <c r="G50" s="43"/>
      <c r="H50" s="43"/>
      <c r="I50" s="43"/>
      <c r="J50" s="43"/>
      <c r="K50" s="43"/>
    </row>
    <row r="51" spans="1:11" s="46" customFormat="1" ht="3" customHeight="1">
      <c r="A51" s="42"/>
      <c r="B51" s="43"/>
      <c r="C51" s="43"/>
      <c r="D51" s="67"/>
      <c r="E51" s="48"/>
      <c r="F51" s="43"/>
      <c r="G51" s="43"/>
      <c r="H51" s="43"/>
      <c r="I51" s="43"/>
      <c r="J51" s="43"/>
      <c r="K51" s="43"/>
    </row>
    <row r="52" spans="1:11" s="46" customFormat="1" ht="12.75" customHeight="1">
      <c r="A52" s="42"/>
      <c r="B52" s="43"/>
      <c r="C52" s="44" t="s">
        <v>123</v>
      </c>
      <c r="D52" s="44"/>
      <c r="E52" s="44"/>
      <c r="F52" s="44"/>
      <c r="G52" s="44"/>
      <c r="H52" s="44"/>
      <c r="I52" s="44"/>
      <c r="J52" s="44"/>
      <c r="K52" s="44"/>
    </row>
    <row r="53" spans="1:11" s="46" customFormat="1" ht="12.75">
      <c r="A53" s="42"/>
      <c r="B53" s="43"/>
      <c r="C53" s="44" t="s">
        <v>124</v>
      </c>
      <c r="D53" s="44"/>
      <c r="E53" s="44"/>
      <c r="F53" s="44"/>
      <c r="G53" s="44"/>
      <c r="H53" s="44"/>
      <c r="I53" s="44"/>
      <c r="J53" s="44"/>
      <c r="K53" s="44"/>
    </row>
    <row r="54" spans="1:11" s="46" customFormat="1" ht="12.75">
      <c r="A54" s="42"/>
      <c r="B54" s="43"/>
      <c r="C54" s="44" t="s">
        <v>125</v>
      </c>
      <c r="D54" s="44"/>
      <c r="E54" s="44"/>
      <c r="F54" s="44"/>
      <c r="G54" s="44"/>
      <c r="H54" s="44"/>
      <c r="I54" s="44"/>
      <c r="J54" s="44"/>
      <c r="K54" s="44"/>
    </row>
    <row r="55" spans="1:11" s="46" customFormat="1" ht="6" customHeight="1">
      <c r="A55" s="49"/>
      <c r="B55" s="43"/>
      <c r="C55" s="43"/>
      <c r="E55" s="47"/>
      <c r="F55" s="48"/>
      <c r="G55" s="43"/>
      <c r="H55" s="43"/>
      <c r="I55" s="43"/>
      <c r="J55" s="43"/>
      <c r="K55" s="43"/>
    </row>
    <row r="56" spans="1:11" s="46" customFormat="1" ht="12.75">
      <c r="A56" s="42" t="s">
        <v>115</v>
      </c>
      <c r="B56" s="16"/>
      <c r="C56" s="65" t="s">
        <v>126</v>
      </c>
      <c r="D56" s="16"/>
      <c r="E56" s="16"/>
      <c r="F56" s="17"/>
      <c r="G56" s="16"/>
      <c r="H56" s="16"/>
      <c r="I56" s="16"/>
      <c r="J56" s="16"/>
      <c r="K56" s="16"/>
    </row>
    <row r="57" spans="1:11" s="46" customFormat="1" ht="12.75">
      <c r="A57" s="3"/>
      <c r="B57" s="16"/>
      <c r="C57" s="66"/>
      <c r="D57" s="16"/>
      <c r="E57" s="16"/>
      <c r="F57" s="17"/>
      <c r="G57" s="16"/>
      <c r="H57" s="16"/>
      <c r="I57" s="16"/>
      <c r="J57" s="16"/>
      <c r="K57" s="16"/>
    </row>
    <row r="58" spans="1:11" ht="12.75">
      <c r="A58" s="29"/>
      <c r="B58" s="30"/>
      <c r="C58" s="30"/>
      <c r="D58" s="26"/>
      <c r="E58" s="30"/>
      <c r="F58" s="31"/>
      <c r="G58" s="30"/>
      <c r="H58" s="30"/>
      <c r="I58" s="30"/>
      <c r="J58" s="30"/>
      <c r="K58" s="30"/>
    </row>
    <row r="59" spans="1:11" s="23" customFormat="1" ht="12.75">
      <c r="A59" s="74" t="s">
        <v>31</v>
      </c>
      <c r="B59" s="75"/>
      <c r="C59" s="75"/>
      <c r="D59" s="75"/>
      <c r="E59" s="75"/>
      <c r="F59" s="75"/>
      <c r="G59" s="75"/>
      <c r="H59" s="75"/>
      <c r="I59" s="75"/>
      <c r="J59" s="75"/>
      <c r="K59" s="75"/>
    </row>
    <row r="60" ht="12.75">
      <c r="A60" s="24"/>
    </row>
    <row r="61" spans="1:9" ht="13.5">
      <c r="A61" s="32"/>
      <c r="D61" s="10" t="s">
        <v>9</v>
      </c>
      <c r="E61" s="54" t="s">
        <v>84</v>
      </c>
      <c r="F61" s="76" t="s">
        <v>90</v>
      </c>
      <c r="G61" s="76"/>
      <c r="H61" s="76"/>
      <c r="I61" s="76"/>
    </row>
    <row r="62" spans="1:9" ht="12.75">
      <c r="A62" s="35"/>
      <c r="D62" s="8" t="s">
        <v>17</v>
      </c>
      <c r="E62" s="55" t="s">
        <v>85</v>
      </c>
      <c r="F62" s="8" t="s">
        <v>91</v>
      </c>
      <c r="G62" s="56" t="s">
        <v>92</v>
      </c>
      <c r="H62" s="36"/>
      <c r="I62" s="8" t="s">
        <v>93</v>
      </c>
    </row>
    <row r="63" spans="2:9" ht="12.75">
      <c r="B63" s="39"/>
      <c r="C63" s="39"/>
      <c r="D63" s="57">
        <v>0.505</v>
      </c>
      <c r="E63" s="57">
        <v>0.1</v>
      </c>
      <c r="F63" s="57">
        <v>0.295</v>
      </c>
      <c r="G63" s="58">
        <v>0.0875</v>
      </c>
      <c r="H63" s="59"/>
      <c r="I63" s="57">
        <v>0.0125</v>
      </c>
    </row>
    <row r="64" spans="2:11" ht="12.75">
      <c r="B64" s="39"/>
      <c r="C64" s="39"/>
      <c r="D64" s="39"/>
      <c r="E64" s="26"/>
      <c r="F64" s="27"/>
      <c r="G64" s="40"/>
      <c r="H64" s="26"/>
      <c r="I64" s="40"/>
      <c r="J64" s="40"/>
      <c r="K64" s="40"/>
    </row>
    <row r="65" spans="1:11" s="23" customFormat="1" ht="12.75">
      <c r="A65" s="77" t="s">
        <v>41</v>
      </c>
      <c r="B65" s="78"/>
      <c r="C65" s="78"/>
      <c r="D65" s="78"/>
      <c r="E65" s="78"/>
      <c r="F65" s="78"/>
      <c r="G65" s="78"/>
      <c r="H65" s="78"/>
      <c r="I65" s="78"/>
      <c r="J65" s="78"/>
      <c r="K65" s="78"/>
    </row>
    <row r="66" spans="1:6" ht="12.75">
      <c r="A66" s="24"/>
      <c r="E66"/>
      <c r="F66" s="16"/>
    </row>
    <row r="67" spans="1:11" ht="54.75" customHeight="1">
      <c r="A67" s="79" t="s">
        <v>120</v>
      </c>
      <c r="B67" s="80"/>
      <c r="C67" s="80"/>
      <c r="D67" s="80"/>
      <c r="E67" s="80"/>
      <c r="F67" s="80"/>
      <c r="G67" s="80"/>
      <c r="H67" s="80"/>
      <c r="I67" s="80"/>
      <c r="J67" s="80"/>
      <c r="K67" s="80"/>
    </row>
    <row r="68" spans="1:6" ht="12.75">
      <c r="A68" s="16"/>
      <c r="E68"/>
      <c r="F68" s="16"/>
    </row>
    <row r="69" spans="2:5" ht="12.75">
      <c r="B69" s="24" t="s">
        <v>42</v>
      </c>
      <c r="C69" s="24"/>
      <c r="D69" s="24"/>
      <c r="E69" s="16">
        <v>2325592</v>
      </c>
    </row>
    <row r="70" spans="2:5" ht="12.75">
      <c r="B70" s="24" t="s">
        <v>43</v>
      </c>
      <c r="C70" s="24"/>
      <c r="D70" s="24"/>
      <c r="E70" s="16">
        <v>775198</v>
      </c>
    </row>
    <row r="71" spans="2:5" ht="12.75">
      <c r="B71" s="16" t="s">
        <v>32</v>
      </c>
      <c r="D71" s="16" t="s">
        <v>32</v>
      </c>
      <c r="E71" s="16" t="s">
        <v>32</v>
      </c>
    </row>
    <row r="72" ht="12.75">
      <c r="E72" s="16" t="s">
        <v>32</v>
      </c>
    </row>
    <row r="73" ht="12.75">
      <c r="A73" s="28" t="s">
        <v>101</v>
      </c>
    </row>
  </sheetData>
  <sheetProtection/>
  <mergeCells count="12">
    <mergeCell ref="I10:K10"/>
    <mergeCell ref="A31:K31"/>
    <mergeCell ref="A59:K59"/>
    <mergeCell ref="F61:I61"/>
    <mergeCell ref="A65:K65"/>
    <mergeCell ref="A67:K67"/>
    <mergeCell ref="A1:K1"/>
    <mergeCell ref="A2:K2"/>
    <mergeCell ref="A3:K3"/>
    <mergeCell ref="A4:K4"/>
    <mergeCell ref="A5:K5"/>
    <mergeCell ref="A8:K8"/>
  </mergeCells>
  <hyperlinks>
    <hyperlink ref="A4" r:id="rId1" display="www.saratogacasino.com"/>
  </hyperlinks>
  <printOptions horizontalCentered="1"/>
  <pageMargins left="0.25" right="0.25" top="0.75" bottom="0.5" header="0.5" footer="0.5"/>
  <pageSetup fitToHeight="1" fitToWidth="1" horizontalDpi="600" verticalDpi="600" orientation="portrait" scale="78" r:id="rId3"/>
  <ignoredErrors>
    <ignoredError sqref="G16:G24" formula="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M78"/>
  <sheetViews>
    <sheetView zoomScalePageLayoutView="0" workbookViewId="0" topLeftCell="A1">
      <selection activeCell="D6" sqref="D6"/>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111</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5">
      <c r="A4" s="72" t="s">
        <v>112</v>
      </c>
      <c r="B4" s="72"/>
      <c r="C4" s="72"/>
      <c r="D4" s="72"/>
      <c r="E4" s="72"/>
      <c r="F4" s="72"/>
      <c r="G4" s="72"/>
      <c r="H4" s="72"/>
      <c r="I4" s="72"/>
      <c r="J4" s="72"/>
      <c r="K4" s="72"/>
      <c r="L4" s="72"/>
      <c r="M4" s="72"/>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114</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43191</v>
      </c>
      <c r="B15" s="16">
        <v>157837491.74</v>
      </c>
      <c r="C15" s="16">
        <f>1581057.51-63184</f>
        <v>1517873.51</v>
      </c>
      <c r="D15" s="63">
        <f aca="true" t="shared" si="0" ref="D15:D26">IF(ISBLANK(B15),"",B15-C15-E15)</f>
        <v>145571132.89000002</v>
      </c>
      <c r="E15" s="16">
        <v>10748485.34</v>
      </c>
      <c r="F15" s="27">
        <f>51180/30</f>
        <v>1706</v>
      </c>
      <c r="G15" s="16">
        <f>_xlfn.IFERROR((E15/F15/30),0)</f>
        <v>210.01339077764752</v>
      </c>
      <c r="I15" s="16">
        <v>4836818.41</v>
      </c>
      <c r="J15" s="16">
        <v>3332030.47</v>
      </c>
      <c r="K15" s="16">
        <v>1074848.54</v>
      </c>
      <c r="L15" s="16">
        <v>1074848.55</v>
      </c>
      <c r="M15" s="16">
        <v>429939.43</v>
      </c>
    </row>
    <row r="16" spans="1:13" ht="12.75">
      <c r="A16" s="3">
        <v>43221</v>
      </c>
      <c r="B16" s="16">
        <v>159797673.32</v>
      </c>
      <c r="C16" s="26">
        <f>1662654.41-1062053</f>
        <v>600601.4099999999</v>
      </c>
      <c r="D16" s="63">
        <f t="shared" si="0"/>
        <v>147429413.49</v>
      </c>
      <c r="E16" s="16">
        <v>11767658.42</v>
      </c>
      <c r="F16" s="17">
        <f>52886/31</f>
        <v>1706</v>
      </c>
      <c r="G16" s="16">
        <f>_xlfn.IFERROR((E16/F16/31),0)</f>
        <v>222.5098971372386</v>
      </c>
      <c r="I16" s="16">
        <v>5295446.29</v>
      </c>
      <c r="J16" s="16">
        <v>3647974.15</v>
      </c>
      <c r="K16" s="16">
        <v>1176765.84</v>
      </c>
      <c r="L16" s="16">
        <v>1176765.85</v>
      </c>
      <c r="M16" s="16">
        <v>470706.34</v>
      </c>
    </row>
    <row r="17" spans="1:13" ht="12.75">
      <c r="A17" s="3">
        <v>43252</v>
      </c>
      <c r="B17" s="16">
        <v>165531396.77</v>
      </c>
      <c r="C17" s="16">
        <f>1763774.2-46580</f>
        <v>1717194.2</v>
      </c>
      <c r="D17" s="63">
        <f t="shared" si="0"/>
        <v>152734860.26000002</v>
      </c>
      <c r="E17" s="16">
        <v>11079342.31</v>
      </c>
      <c r="F17" s="17">
        <f>51180/30</f>
        <v>1706</v>
      </c>
      <c r="G17" s="16">
        <f>_xlfn.IFERROR((E17/F17/30),0)</f>
        <v>216.4779661977335</v>
      </c>
      <c r="I17" s="16">
        <v>4985704.05</v>
      </c>
      <c r="J17" s="16">
        <v>3434596.13</v>
      </c>
      <c r="K17" s="16">
        <v>1107934.23</v>
      </c>
      <c r="L17" s="16">
        <v>1107934.23</v>
      </c>
      <c r="M17" s="16">
        <v>443173.67</v>
      </c>
    </row>
    <row r="18" spans="1:13" ht="12.75">
      <c r="A18" s="3">
        <v>43282</v>
      </c>
      <c r="B18" s="16">
        <v>177370743.39</v>
      </c>
      <c r="C18" s="16">
        <f>1965718.68-46360</f>
        <v>1919358.68</v>
      </c>
      <c r="D18" s="63">
        <f t="shared" si="0"/>
        <v>163783713.57999998</v>
      </c>
      <c r="E18" s="16">
        <v>11667671.13</v>
      </c>
      <c r="F18" s="17">
        <f>52886/31</f>
        <v>1706</v>
      </c>
      <c r="G18" s="16">
        <f>_xlfn.IFERROR((E18/F18/31),0)</f>
        <v>220.61927788072458</v>
      </c>
      <c r="I18" s="16">
        <v>5250452.02</v>
      </c>
      <c r="J18" s="16">
        <v>3616978.04</v>
      </c>
      <c r="K18" s="16">
        <v>1166767.14</v>
      </c>
      <c r="L18" s="16">
        <v>1166767.14</v>
      </c>
      <c r="M18" s="16">
        <v>466706.8</v>
      </c>
    </row>
    <row r="19" spans="1:13" ht="12.75">
      <c r="A19" s="3">
        <v>43313</v>
      </c>
      <c r="B19" s="16">
        <v>190660955.68</v>
      </c>
      <c r="C19" s="16">
        <f>1943966.38-55844</f>
        <v>1888122.38</v>
      </c>
      <c r="D19" s="63">
        <f t="shared" si="0"/>
        <v>176214119.04000002</v>
      </c>
      <c r="E19" s="16">
        <v>12558714.26</v>
      </c>
      <c r="F19" s="17">
        <f>52886/31</f>
        <v>1706</v>
      </c>
      <c r="G19" s="16">
        <f>_xlfn.IFERROR((E19/F19/31),0)</f>
        <v>237.46765230873953</v>
      </c>
      <c r="I19" s="16">
        <v>5651421.41</v>
      </c>
      <c r="J19" s="16">
        <v>3893201.43</v>
      </c>
      <c r="K19" s="16">
        <v>1255871.45</v>
      </c>
      <c r="L19" s="16">
        <v>1255871.46</v>
      </c>
      <c r="M19" s="16">
        <v>502348.56</v>
      </c>
    </row>
    <row r="20" spans="1:13" ht="12.75">
      <c r="A20" s="3">
        <v>43344</v>
      </c>
      <c r="B20" s="16">
        <v>165960621.69</v>
      </c>
      <c r="C20" s="16">
        <f>1855175.88-49591</f>
        <v>1805584.88</v>
      </c>
      <c r="D20" s="63">
        <f t="shared" si="0"/>
        <v>153740720.21</v>
      </c>
      <c r="E20" s="16">
        <v>10414316.6</v>
      </c>
      <c r="F20" s="17">
        <f>51180/30</f>
        <v>1706</v>
      </c>
      <c r="G20" s="16">
        <f>_xlfn.IFERROR((E20/F20/30),0)</f>
        <v>203.48410707307542</v>
      </c>
      <c r="I20" s="16">
        <v>4915889.93</v>
      </c>
      <c r="J20" s="16">
        <v>3228438.16</v>
      </c>
      <c r="K20" s="16">
        <v>1041431.67</v>
      </c>
      <c r="L20" s="26">
        <v>1041431.67</v>
      </c>
      <c r="M20" s="16">
        <v>187125.2</v>
      </c>
    </row>
    <row r="21" spans="1:13" ht="12.75">
      <c r="A21" s="3">
        <v>43374</v>
      </c>
      <c r="B21" s="16">
        <v>144730325.55</v>
      </c>
      <c r="C21" s="16">
        <f>1590965.84-57039.5</f>
        <v>1533926.34</v>
      </c>
      <c r="D21" s="63">
        <f t="shared" si="0"/>
        <v>133639940.12</v>
      </c>
      <c r="E21" s="16">
        <v>9556459.09</v>
      </c>
      <c r="F21" s="17">
        <f>52886/31</f>
        <v>1706</v>
      </c>
      <c r="G21" s="16">
        <f>_xlfn.IFERROR((E21/F21/31),0)</f>
        <v>180.6992226676247</v>
      </c>
      <c r="I21" s="16">
        <v>4682664.94</v>
      </c>
      <c r="J21" s="16">
        <v>2962502.29</v>
      </c>
      <c r="K21" s="16">
        <v>955645.91</v>
      </c>
      <c r="L21" s="16">
        <v>955645.92</v>
      </c>
      <c r="M21" s="16">
        <v>0</v>
      </c>
    </row>
    <row r="22" spans="1:13" ht="12.75">
      <c r="A22" s="3">
        <v>43405</v>
      </c>
      <c r="B22" s="16">
        <v>131636109.48</v>
      </c>
      <c r="C22" s="16">
        <f>1401891.04-51630</f>
        <v>1350261.04</v>
      </c>
      <c r="D22" s="63">
        <f t="shared" si="0"/>
        <v>121600022.07</v>
      </c>
      <c r="E22" s="16">
        <v>8685826.37</v>
      </c>
      <c r="F22" s="17">
        <f>51180/30</f>
        <v>1706</v>
      </c>
      <c r="G22" s="16">
        <f>_xlfn.IFERROR((E22/F22/30),0)</f>
        <v>169.7113397811645</v>
      </c>
      <c r="I22" s="16">
        <v>4256054.9</v>
      </c>
      <c r="J22" s="16">
        <v>2692606.19</v>
      </c>
      <c r="K22" s="16">
        <v>868582.64</v>
      </c>
      <c r="L22" s="16">
        <v>868582.65</v>
      </c>
      <c r="M22" s="16">
        <v>0</v>
      </c>
    </row>
    <row r="23" spans="1:13" ht="12.75">
      <c r="A23" s="3">
        <v>43435</v>
      </c>
      <c r="B23" s="16">
        <v>149013461.04</v>
      </c>
      <c r="C23" s="16">
        <f>1512870.78-46650</f>
        <v>1466220.78</v>
      </c>
      <c r="D23" s="63">
        <f t="shared" si="0"/>
        <v>137804207.91</v>
      </c>
      <c r="E23" s="16">
        <v>9743032.35</v>
      </c>
      <c r="F23" s="17">
        <f>52886/31</f>
        <v>1706</v>
      </c>
      <c r="G23" s="16">
        <f>_xlfn.IFERROR((E23/F23/31),0)</f>
        <v>184.2270610369474</v>
      </c>
      <c r="I23" s="16">
        <v>4774085.84</v>
      </c>
      <c r="J23" s="16">
        <v>3020340.02</v>
      </c>
      <c r="K23" s="16">
        <v>974303.24</v>
      </c>
      <c r="L23" s="16">
        <v>974303.25</v>
      </c>
      <c r="M23" s="16">
        <v>0</v>
      </c>
    </row>
    <row r="24" spans="1:13" ht="12.75">
      <c r="A24" s="3">
        <v>43466</v>
      </c>
      <c r="B24" s="16">
        <v>126525854.91</v>
      </c>
      <c r="C24" s="16">
        <f>1345011.85-43592.7</f>
        <v>1301419.1500000001</v>
      </c>
      <c r="D24" s="63">
        <f t="shared" si="0"/>
        <v>116723743.02</v>
      </c>
      <c r="E24" s="16">
        <v>8500692.74</v>
      </c>
      <c r="F24" s="17">
        <f>50061/31</f>
        <v>1614.8709677419354</v>
      </c>
      <c r="G24" s="16">
        <f>_xlfn.IFERROR((E24/F24/31),0)</f>
        <v>169.80669063742235</v>
      </c>
      <c r="I24" s="16">
        <v>4259783.42</v>
      </c>
      <c r="J24" s="16">
        <v>2635214.74</v>
      </c>
      <c r="K24" s="16">
        <v>755625.31</v>
      </c>
      <c r="L24" s="16">
        <v>850069.28</v>
      </c>
      <c r="M24" s="16">
        <v>0</v>
      </c>
    </row>
    <row r="25" spans="1:13" ht="12.75">
      <c r="A25" s="3">
        <v>43497</v>
      </c>
      <c r="B25" s="16">
        <v>138649918.61</v>
      </c>
      <c r="C25" s="16">
        <f>1342646.98-65670</f>
        <v>1276976.98</v>
      </c>
      <c r="D25" s="63">
        <f t="shared" si="0"/>
        <v>127793640.59000003</v>
      </c>
      <c r="E25" s="16">
        <v>9579301.04</v>
      </c>
      <c r="F25" s="17">
        <f>44604/28</f>
        <v>1593</v>
      </c>
      <c r="G25" s="16">
        <f>_xlfn.IFERROR((E25/F25/28),0)</f>
        <v>214.76327324903596</v>
      </c>
      <c r="I25" s="16">
        <v>4885443.56</v>
      </c>
      <c r="J25" s="16">
        <v>2969583.33</v>
      </c>
      <c r="K25" s="16">
        <v>766344.09</v>
      </c>
      <c r="L25" s="16">
        <v>957930.13</v>
      </c>
      <c r="M25" s="16">
        <v>0</v>
      </c>
    </row>
    <row r="26" spans="1:13" ht="12.75">
      <c r="A26" s="3">
        <v>43525</v>
      </c>
      <c r="B26" s="16">
        <v>169030084.96</v>
      </c>
      <c r="C26" s="16">
        <f>1553060.62-42772</f>
        <v>1510288.62</v>
      </c>
      <c r="D26" s="63">
        <f t="shared" si="0"/>
        <v>156117720.51</v>
      </c>
      <c r="E26" s="16">
        <v>11402075.83</v>
      </c>
      <c r="F26" s="17">
        <f>49463/31</f>
        <v>1595.5806451612902</v>
      </c>
      <c r="G26" s="16">
        <f>_xlfn.IFERROR((E26/F26/31),0)</f>
        <v>230.51727210237956</v>
      </c>
      <c r="I26" s="16">
        <v>5815058.69</v>
      </c>
      <c r="J26" s="16">
        <v>3534643.49</v>
      </c>
      <c r="K26" s="16">
        <v>912166.07</v>
      </c>
      <c r="L26" s="16">
        <v>1140207.58</v>
      </c>
      <c r="M26" s="16">
        <v>0</v>
      </c>
    </row>
    <row r="27" spans="1:13" ht="13.5" thickBot="1">
      <c r="A27" s="60" t="s">
        <v>20</v>
      </c>
      <c r="B27" s="61">
        <f>SUM(B15:B26)</f>
        <v>1876744637.1400003</v>
      </c>
      <c r="C27" s="61">
        <f>SUM(C15:C26)</f>
        <v>17887827.97</v>
      </c>
      <c r="D27" s="61">
        <f>SUM(D15:D26)</f>
        <v>1733153233.6900003</v>
      </c>
      <c r="E27" s="61">
        <f>SUM(E15:E26)</f>
        <v>125703575.48</v>
      </c>
      <c r="F27" s="62">
        <f>AVERAGE(F15:F26)</f>
        <v>1679.7876344086023</v>
      </c>
      <c r="G27" s="64">
        <f>AVERAGE(G15:G26)</f>
        <v>205.02476257081113</v>
      </c>
      <c r="H27" s="33"/>
      <c r="I27" s="61">
        <f>SUM(I15:I26)</f>
        <v>59608823.45999999</v>
      </c>
      <c r="J27" s="61">
        <f>SUM(J15:J26)</f>
        <v>38968108.44</v>
      </c>
      <c r="K27" s="61">
        <f>SUM(K15:K26)</f>
        <v>12056286.13</v>
      </c>
      <c r="L27" s="61">
        <f>SUM(L15:L26)</f>
        <v>12570357.71</v>
      </c>
      <c r="M27" s="61">
        <f>SUM(M15:M26)</f>
        <v>2500000</v>
      </c>
    </row>
    <row r="28" spans="2:13" ht="10.5" customHeight="1" thickTop="1">
      <c r="B28" s="19"/>
      <c r="C28" s="19"/>
      <c r="D28" s="19"/>
      <c r="E28" s="19"/>
      <c r="I28" s="19"/>
      <c r="J28" s="19"/>
      <c r="K28" s="19"/>
      <c r="L28" s="19"/>
      <c r="M28" s="19"/>
    </row>
    <row r="29" spans="1:13" s="22" customFormat="1" ht="12.75">
      <c r="A29" s="20"/>
      <c r="B29" s="21"/>
      <c r="C29" s="21">
        <f>C27/B27</f>
        <v>0.009531306292826036</v>
      </c>
      <c r="D29" s="21">
        <f>D27/B27</f>
        <v>0.9234891094886403</v>
      </c>
      <c r="E29" s="21">
        <f>E27/B27</f>
        <v>0.06697958421853363</v>
      </c>
      <c r="I29" s="21">
        <f>I27/$E$27</f>
        <v>0.474201495322494</v>
      </c>
      <c r="J29" s="21">
        <f>J27/$E$27</f>
        <v>0.31000000032775515</v>
      </c>
      <c r="K29" s="21">
        <f>K27/$E$27</f>
        <v>0.09591044712899363</v>
      </c>
      <c r="L29" s="21">
        <f>L27/$E$27</f>
        <v>0.10000000128874616</v>
      </c>
      <c r="M29" s="21">
        <f>M27/$E$27</f>
        <v>0.01988805800036898</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104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s="46" customFormat="1" ht="6" customHeight="1">
      <c r="A58" s="49"/>
      <c r="B58" s="43"/>
      <c r="C58" s="43"/>
      <c r="E58" s="47"/>
      <c r="F58" s="48"/>
      <c r="G58" s="43"/>
      <c r="H58" s="43"/>
      <c r="I58" s="43"/>
      <c r="J58" s="43"/>
      <c r="K58" s="43"/>
      <c r="L58" s="43"/>
      <c r="M58" s="47"/>
    </row>
    <row r="59" spans="1:13" s="46" customFormat="1" ht="12.75">
      <c r="A59" s="42" t="s">
        <v>115</v>
      </c>
      <c r="B59" s="16"/>
      <c r="C59" s="65" t="s">
        <v>116</v>
      </c>
      <c r="D59" s="16"/>
      <c r="E59" s="16"/>
      <c r="F59" s="17"/>
      <c r="G59" s="16"/>
      <c r="H59" s="16"/>
      <c r="I59" s="16"/>
      <c r="J59" s="16"/>
      <c r="K59" s="16"/>
      <c r="L59" s="16"/>
      <c r="M59" s="47"/>
    </row>
    <row r="60" spans="1:13" s="46" customFormat="1" ht="12.75">
      <c r="A60" s="3"/>
      <c r="B60" s="16"/>
      <c r="C60" s="66" t="s">
        <v>119</v>
      </c>
      <c r="D60" s="16"/>
      <c r="E60" s="16"/>
      <c r="F60" s="17"/>
      <c r="G60" s="16"/>
      <c r="H60" s="16"/>
      <c r="I60" s="16"/>
      <c r="J60" s="16"/>
      <c r="K60" s="16"/>
      <c r="L60" s="16"/>
      <c r="M60" s="47"/>
    </row>
    <row r="61" spans="1:13" ht="12.75">
      <c r="A61" s="29"/>
      <c r="B61" s="30"/>
      <c r="C61" s="30"/>
      <c r="D61" s="26"/>
      <c r="E61" s="30"/>
      <c r="F61" s="31"/>
      <c r="G61" s="30"/>
      <c r="H61" s="30"/>
      <c r="I61" s="30"/>
      <c r="J61" s="30"/>
      <c r="K61" s="30"/>
      <c r="L61" s="30"/>
      <c r="M61" s="30"/>
    </row>
    <row r="62" spans="1:13" s="23" customFormat="1" ht="12.75">
      <c r="A62" s="74" t="s">
        <v>31</v>
      </c>
      <c r="B62" s="75"/>
      <c r="C62" s="75"/>
      <c r="D62" s="75"/>
      <c r="E62" s="75"/>
      <c r="F62" s="75"/>
      <c r="G62" s="75"/>
      <c r="H62" s="75"/>
      <c r="I62" s="75"/>
      <c r="J62" s="75"/>
      <c r="K62" s="75"/>
      <c r="L62" s="75"/>
      <c r="M62" s="81"/>
    </row>
    <row r="63" ht="12.75">
      <c r="A63" s="24"/>
    </row>
    <row r="64" spans="1:13" ht="13.5">
      <c r="A64" s="32"/>
      <c r="E64" s="10" t="s">
        <v>9</v>
      </c>
      <c r="F64" s="76" t="s">
        <v>90</v>
      </c>
      <c r="G64" s="76"/>
      <c r="H64" s="76"/>
      <c r="I64" s="76"/>
      <c r="J64" s="10" t="s">
        <v>10</v>
      </c>
      <c r="K64" s="54" t="s">
        <v>84</v>
      </c>
      <c r="L64" s="10" t="s">
        <v>45</v>
      </c>
      <c r="M64" s="34"/>
    </row>
    <row r="65" spans="1:13" ht="12.75">
      <c r="A65" s="35"/>
      <c r="E65" s="8" t="s">
        <v>17</v>
      </c>
      <c r="F65" s="8" t="s">
        <v>91</v>
      </c>
      <c r="G65" s="56" t="s">
        <v>92</v>
      </c>
      <c r="H65" s="36"/>
      <c r="I65" s="8" t="s">
        <v>93</v>
      </c>
      <c r="J65" s="8" t="s">
        <v>19</v>
      </c>
      <c r="K65" s="55" t="s">
        <v>85</v>
      </c>
      <c r="L65" s="8" t="s">
        <v>46</v>
      </c>
      <c r="M65" s="34"/>
    </row>
    <row r="66" spans="2:13" ht="12.75">
      <c r="B66" s="39" t="s">
        <v>55</v>
      </c>
      <c r="C66" s="39"/>
      <c r="D66" s="39"/>
      <c r="E66" s="57">
        <v>0.45</v>
      </c>
      <c r="F66" s="57">
        <v>0.21</v>
      </c>
      <c r="G66" s="58">
        <v>0.0875</v>
      </c>
      <c r="H66" s="59"/>
      <c r="I66" s="57">
        <v>0.0125</v>
      </c>
      <c r="J66" s="57">
        <v>0.1</v>
      </c>
      <c r="K66" s="57">
        <v>0.1</v>
      </c>
      <c r="L66" s="57">
        <v>0.04</v>
      </c>
      <c r="M66" s="38"/>
    </row>
    <row r="67" spans="2:13" ht="12.75">
      <c r="B67" s="39" t="s">
        <v>56</v>
      </c>
      <c r="C67" s="39"/>
      <c r="D67" s="39"/>
      <c r="E67" s="57">
        <v>0.49</v>
      </c>
      <c r="F67" s="57">
        <v>0.21</v>
      </c>
      <c r="G67" s="58">
        <v>0.0875</v>
      </c>
      <c r="H67" s="59"/>
      <c r="I67" s="57">
        <v>0.0125</v>
      </c>
      <c r="J67" s="57">
        <v>0.1</v>
      </c>
      <c r="K67" s="57">
        <v>0.1</v>
      </c>
      <c r="L67" s="57">
        <v>0</v>
      </c>
      <c r="M67" s="38"/>
    </row>
    <row r="68" spans="2:13" ht="12.75">
      <c r="B68" s="39" t="s">
        <v>53</v>
      </c>
      <c r="C68" s="39"/>
      <c r="D68" s="39"/>
      <c r="E68" s="57">
        <v>0.51</v>
      </c>
      <c r="F68" s="57">
        <v>0.21</v>
      </c>
      <c r="G68" s="58">
        <v>0.0875</v>
      </c>
      <c r="H68" s="59"/>
      <c r="I68" s="57">
        <v>0.0125</v>
      </c>
      <c r="J68" s="57">
        <v>0.08</v>
      </c>
      <c r="K68" s="57">
        <v>0.1</v>
      </c>
      <c r="L68" s="57">
        <v>0</v>
      </c>
      <c r="M68" s="38"/>
    </row>
    <row r="69" spans="2:13" ht="12.75">
      <c r="B69" s="39"/>
      <c r="C69" s="39"/>
      <c r="D69" s="39"/>
      <c r="E69" s="26"/>
      <c r="F69" s="27"/>
      <c r="G69" s="40"/>
      <c r="H69" s="26"/>
      <c r="I69" s="40"/>
      <c r="J69" s="40"/>
      <c r="K69" s="40"/>
      <c r="L69" s="40"/>
      <c r="M69" s="38"/>
    </row>
    <row r="70" spans="1:13" s="23" customFormat="1" ht="12.75">
      <c r="A70" s="77" t="s">
        <v>41</v>
      </c>
      <c r="B70" s="78"/>
      <c r="C70" s="78"/>
      <c r="D70" s="78"/>
      <c r="E70" s="78"/>
      <c r="F70" s="78"/>
      <c r="G70" s="78"/>
      <c r="H70" s="78"/>
      <c r="I70" s="78"/>
      <c r="J70" s="78"/>
      <c r="K70" s="78"/>
      <c r="L70" s="78"/>
      <c r="M70" s="82"/>
    </row>
    <row r="71" spans="1:6" ht="12.75">
      <c r="A71" s="24"/>
      <c r="E71"/>
      <c r="F71" s="16"/>
    </row>
    <row r="72" spans="1:13" ht="54.75" customHeight="1">
      <c r="A72" s="79" t="s">
        <v>121</v>
      </c>
      <c r="B72" s="80"/>
      <c r="C72" s="80"/>
      <c r="D72" s="80"/>
      <c r="E72" s="80"/>
      <c r="F72" s="80"/>
      <c r="G72" s="80"/>
      <c r="H72" s="80"/>
      <c r="I72" s="80"/>
      <c r="J72" s="80"/>
      <c r="K72" s="80"/>
      <c r="L72" s="80"/>
      <c r="M72" s="80"/>
    </row>
    <row r="73" spans="1:6" ht="12.75">
      <c r="A73" s="16"/>
      <c r="E73"/>
      <c r="F73" s="16"/>
    </row>
    <row r="74" spans="2:5" ht="12.75">
      <c r="B74" s="24" t="s">
        <v>42</v>
      </c>
      <c r="C74" s="24"/>
      <c r="D74" s="24"/>
      <c r="E74" s="16">
        <v>2325592</v>
      </c>
    </row>
    <row r="75" spans="2:5" ht="12.75">
      <c r="B75" s="24" t="s">
        <v>43</v>
      </c>
      <c r="C75" s="24"/>
      <c r="D75" s="24"/>
      <c r="E75" s="16">
        <v>775198</v>
      </c>
    </row>
    <row r="76" spans="2:5" ht="12.75">
      <c r="B76" s="16" t="s">
        <v>32</v>
      </c>
      <c r="D76" s="16" t="s">
        <v>32</v>
      </c>
      <c r="E76" s="16" t="s">
        <v>32</v>
      </c>
    </row>
    <row r="77" ht="12.75">
      <c r="E77" s="16" t="s">
        <v>32</v>
      </c>
    </row>
    <row r="78" ht="12.75">
      <c r="A78" s="28" t="s">
        <v>101</v>
      </c>
    </row>
  </sheetData>
  <sheetProtection/>
  <mergeCells count="12">
    <mergeCell ref="A1:M1"/>
    <mergeCell ref="A2:M2"/>
    <mergeCell ref="A3:M3"/>
    <mergeCell ref="A4:M4"/>
    <mergeCell ref="A5:M5"/>
    <mergeCell ref="A8:M8"/>
    <mergeCell ref="I10:M10"/>
    <mergeCell ref="A31:M31"/>
    <mergeCell ref="A62:M62"/>
    <mergeCell ref="F64:I64"/>
    <mergeCell ref="A70:M70"/>
    <mergeCell ref="A72:M72"/>
  </mergeCells>
  <hyperlinks>
    <hyperlink ref="A4" r:id="rId1" display="www.saratogacasino.com"/>
  </hyperlinks>
  <printOptions horizontalCentered="1"/>
  <pageMargins left="0.25" right="0.25" top="0.75" bottom="0.5" header="0.5" footer="0.5"/>
  <pageSetup fitToHeight="1" fitToWidth="1" horizontalDpi="600" verticalDpi="600" orientation="portrait" scale="71"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zoomScalePageLayoutView="0" workbookViewId="0" topLeftCell="A16">
      <selection activeCell="F27" sqref="F27:G27"/>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111</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5">
      <c r="A4" s="72" t="s">
        <v>112</v>
      </c>
      <c r="B4" s="72"/>
      <c r="C4" s="72"/>
      <c r="D4" s="72"/>
      <c r="E4" s="72"/>
      <c r="F4" s="72"/>
      <c r="G4" s="72"/>
      <c r="H4" s="72"/>
      <c r="I4" s="72"/>
      <c r="J4" s="72"/>
      <c r="K4" s="72"/>
      <c r="L4" s="72"/>
      <c r="M4" s="72"/>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113</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42826</v>
      </c>
      <c r="B15" s="16">
        <v>182299020.45999995</v>
      </c>
      <c r="C15" s="16">
        <v>2151316.85</v>
      </c>
      <c r="D15" s="16">
        <f aca="true" t="shared" si="0" ref="D15:D26">+B15-C15-E15</f>
        <v>167975651.48899996</v>
      </c>
      <c r="E15" s="16">
        <v>12172052.121000001</v>
      </c>
      <c r="F15" s="27">
        <f>51240/30</f>
        <v>1708</v>
      </c>
      <c r="G15" s="16">
        <f>E15/F15/30</f>
        <v>237.54980720140517</v>
      </c>
      <c r="I15" s="16">
        <v>5477423.46</v>
      </c>
      <c r="J15" s="16">
        <v>3773336.17</v>
      </c>
      <c r="K15" s="16">
        <v>1217205.1900000002</v>
      </c>
      <c r="L15" s="16">
        <v>1217205.2100000002</v>
      </c>
      <c r="M15" s="16">
        <v>486882.0799999999</v>
      </c>
    </row>
    <row r="16" spans="1:13" ht="12.75">
      <c r="A16" s="3">
        <v>42856</v>
      </c>
      <c r="B16" s="16">
        <v>178480445.55999997</v>
      </c>
      <c r="C16" s="26">
        <v>2111047.87</v>
      </c>
      <c r="D16" s="16">
        <f t="shared" si="0"/>
        <v>164299050.21999997</v>
      </c>
      <c r="E16" s="16">
        <v>12070347.470000003</v>
      </c>
      <c r="F16" s="17">
        <f>52948/31</f>
        <v>1708</v>
      </c>
      <c r="G16" s="16">
        <f>+E16/F16/31</f>
        <v>227.9660699176551</v>
      </c>
      <c r="I16" s="16">
        <v>5431656.389999999</v>
      </c>
      <c r="J16" s="16">
        <v>3741807.73</v>
      </c>
      <c r="K16" s="16">
        <v>1207034.7699999998</v>
      </c>
      <c r="L16" s="16">
        <v>1207034.7699999998</v>
      </c>
      <c r="M16" s="16">
        <v>482813.88999999996</v>
      </c>
    </row>
    <row r="17" spans="1:13" ht="12.75">
      <c r="A17" s="3">
        <v>42887</v>
      </c>
      <c r="B17" s="16">
        <v>171797013.35000002</v>
      </c>
      <c r="C17" s="16">
        <v>1792850.28</v>
      </c>
      <c r="D17" s="16">
        <f t="shared" si="0"/>
        <v>158634942.13000003</v>
      </c>
      <c r="E17" s="16">
        <v>11369220.940000005</v>
      </c>
      <c r="F17" s="17">
        <f>51240/30</f>
        <v>1708</v>
      </c>
      <c r="G17" s="16">
        <f>E17/F17/30</f>
        <v>221.8817513661203</v>
      </c>
      <c r="I17" s="16">
        <v>5116149.4399999995</v>
      </c>
      <c r="J17" s="16">
        <v>3524458.5200000005</v>
      </c>
      <c r="K17" s="16">
        <v>1136922.13</v>
      </c>
      <c r="L17" s="16">
        <v>1136922.13</v>
      </c>
      <c r="M17" s="16">
        <v>454768.83</v>
      </c>
    </row>
    <row r="18" spans="1:13" ht="12.75">
      <c r="A18" s="3">
        <v>42917</v>
      </c>
      <c r="B18" s="16">
        <v>187690709.93999997</v>
      </c>
      <c r="C18" s="16">
        <v>1925668.8800000001</v>
      </c>
      <c r="D18" s="16">
        <f t="shared" si="0"/>
        <v>173281064.86999997</v>
      </c>
      <c r="E18" s="16">
        <v>12483976.19</v>
      </c>
      <c r="F18" s="17">
        <v>1708</v>
      </c>
      <c r="G18" s="16">
        <v>236</v>
      </c>
      <c r="I18" s="16">
        <v>5617789.3100000005</v>
      </c>
      <c r="J18" s="16">
        <v>3870032.6199999987</v>
      </c>
      <c r="K18" s="16">
        <v>1248397.63</v>
      </c>
      <c r="L18" s="16">
        <v>1248397.63</v>
      </c>
      <c r="M18" s="16">
        <v>499359.06</v>
      </c>
    </row>
    <row r="19" spans="1:13" ht="12.75">
      <c r="A19" s="3">
        <v>42948</v>
      </c>
      <c r="B19" s="16">
        <v>189555597.42000002</v>
      </c>
      <c r="C19" s="16">
        <v>1839413.9999999998</v>
      </c>
      <c r="D19" s="16">
        <f t="shared" si="0"/>
        <v>175276296.08</v>
      </c>
      <c r="E19" s="16">
        <v>12439887.340000005</v>
      </c>
      <c r="F19" s="17">
        <f>52948/31</f>
        <v>1708</v>
      </c>
      <c r="G19" s="16">
        <v>235</v>
      </c>
      <c r="I19" s="16">
        <v>5597949.32</v>
      </c>
      <c r="J19" s="16">
        <v>3856365.080000001</v>
      </c>
      <c r="K19" s="16">
        <v>1243988.7699999998</v>
      </c>
      <c r="L19" s="16">
        <v>1243988.7699999998</v>
      </c>
      <c r="M19" s="16">
        <v>497595.51000000007</v>
      </c>
    </row>
    <row r="20" spans="1:13" ht="12.75">
      <c r="A20" s="3">
        <v>42979</v>
      </c>
      <c r="B20" s="16">
        <v>161863188.61999997</v>
      </c>
      <c r="C20" s="16">
        <v>1425620.0999999999</v>
      </c>
      <c r="D20" s="16">
        <f t="shared" si="0"/>
        <v>149463086.64</v>
      </c>
      <c r="E20" s="16">
        <v>10974481.879999999</v>
      </c>
      <c r="F20" s="17">
        <f>51240/30</f>
        <v>1708</v>
      </c>
      <c r="G20" s="16">
        <f>E20/F20/30</f>
        <v>214.1780226385636</v>
      </c>
      <c r="I20" s="16">
        <v>5298915.470000001</v>
      </c>
      <c r="J20" s="16">
        <v>3402089.4100000006</v>
      </c>
      <c r="K20" s="16">
        <v>1097448.18</v>
      </c>
      <c r="L20" s="26">
        <v>1097448.19</v>
      </c>
      <c r="M20" s="16">
        <v>78580.62999999999</v>
      </c>
    </row>
    <row r="21" spans="1:13" ht="12.75">
      <c r="A21" s="3">
        <v>43009</v>
      </c>
      <c r="B21" s="16">
        <v>153523629.79000002</v>
      </c>
      <c r="C21" s="16">
        <v>1404039.01</v>
      </c>
      <c r="D21" s="16">
        <f t="shared" si="0"/>
        <v>141643171.17000002</v>
      </c>
      <c r="E21" s="16">
        <v>10476419.61</v>
      </c>
      <c r="F21" s="17">
        <f>52882/31</f>
        <v>1705.8709677419354</v>
      </c>
      <c r="G21" s="16">
        <f>+E21/F21/31</f>
        <v>198.10936821602814</v>
      </c>
      <c r="I21" s="16">
        <v>5133445.619999999</v>
      </c>
      <c r="J21" s="16">
        <v>3247690.0800000005</v>
      </c>
      <c r="K21" s="16">
        <v>1047641.99</v>
      </c>
      <c r="L21" s="16">
        <v>1047642.01</v>
      </c>
      <c r="M21" s="16">
        <v>0</v>
      </c>
    </row>
    <row r="22" spans="1:13" ht="12.75">
      <c r="A22" s="3">
        <v>43040</v>
      </c>
      <c r="B22" s="16">
        <v>147997537.82999998</v>
      </c>
      <c r="C22" s="16">
        <v>1645443.6800000004</v>
      </c>
      <c r="D22" s="16">
        <f t="shared" si="0"/>
        <v>136819655.60999998</v>
      </c>
      <c r="E22" s="16">
        <v>9532438.54</v>
      </c>
      <c r="F22" s="17">
        <f>51180/30</f>
        <v>1706</v>
      </c>
      <c r="G22" s="16">
        <f>E22/F22/30</f>
        <v>186.25319538882374</v>
      </c>
      <c r="I22" s="16">
        <v>4670894.8999999985</v>
      </c>
      <c r="J22" s="16">
        <v>2955055.95</v>
      </c>
      <c r="K22" s="16">
        <v>953243.87</v>
      </c>
      <c r="L22" s="16">
        <v>953243.8799999999</v>
      </c>
      <c r="M22" s="16">
        <v>0</v>
      </c>
    </row>
    <row r="23" spans="1:13" ht="12.75">
      <c r="A23" s="3">
        <v>43070</v>
      </c>
      <c r="B23" s="16">
        <v>143537449.6</v>
      </c>
      <c r="C23" s="16">
        <v>1708866.245</v>
      </c>
      <c r="D23" s="16">
        <f t="shared" si="0"/>
        <v>132611839.57999998</v>
      </c>
      <c r="E23" s="16">
        <v>9216743.774999999</v>
      </c>
      <c r="F23" s="17">
        <f>52886/31</f>
        <v>1706</v>
      </c>
      <c r="G23" s="16">
        <f>+E23/F23/31</f>
        <v>174.27568307302496</v>
      </c>
      <c r="I23" s="16">
        <v>4530915.811020002</v>
      </c>
      <c r="J23" s="16">
        <v>2857190.5600000005</v>
      </c>
      <c r="K23" s="16">
        <v>906963.0390799986</v>
      </c>
      <c r="L23" s="16">
        <v>921674.3999999999</v>
      </c>
      <c r="M23" s="16">
        <v>0</v>
      </c>
    </row>
    <row r="24" spans="1:13" ht="12.75">
      <c r="A24" s="3">
        <v>43101</v>
      </c>
      <c r="B24" s="16">
        <v>147484260.58000004</v>
      </c>
      <c r="C24" s="16">
        <v>1750963.99</v>
      </c>
      <c r="D24" s="16">
        <f t="shared" si="0"/>
        <v>136450915.71000004</v>
      </c>
      <c r="E24" s="16">
        <v>9282380.88</v>
      </c>
      <c r="F24" s="17">
        <f>52886/31</f>
        <v>1706</v>
      </c>
      <c r="G24" s="16">
        <f>+E24/F24/31</f>
        <v>175.51678856408125</v>
      </c>
      <c r="I24" s="16">
        <v>4734014.26</v>
      </c>
      <c r="J24" s="16">
        <v>2877538.08</v>
      </c>
      <c r="K24" s="16">
        <v>742590.4600000002</v>
      </c>
      <c r="L24" s="16">
        <v>928238.0800000003</v>
      </c>
      <c r="M24" s="16">
        <v>0</v>
      </c>
    </row>
    <row r="25" spans="1:13" ht="12.75">
      <c r="A25" s="3">
        <v>43132</v>
      </c>
      <c r="B25" s="16">
        <v>140301092.68</v>
      </c>
      <c r="C25" s="16">
        <v>1413647.7899999998</v>
      </c>
      <c r="D25" s="16">
        <f t="shared" si="0"/>
        <v>129316401.58000001</v>
      </c>
      <c r="E25" s="16">
        <v>9571043.31</v>
      </c>
      <c r="F25" s="17">
        <f>47768/28</f>
        <v>1706</v>
      </c>
      <c r="G25" s="16">
        <f>+E25/F25/28</f>
        <v>200.36516726678948</v>
      </c>
      <c r="I25" s="16">
        <v>4881232.08</v>
      </c>
      <c r="J25" s="16">
        <v>2967023.4499999997</v>
      </c>
      <c r="K25" s="16">
        <v>765683.47</v>
      </c>
      <c r="L25" s="16">
        <v>957104.3099999999</v>
      </c>
      <c r="M25" s="16">
        <v>0</v>
      </c>
    </row>
    <row r="26" spans="1:13" ht="12.75">
      <c r="A26" s="3">
        <v>43160</v>
      </c>
      <c r="B26" s="16">
        <v>161129093.04</v>
      </c>
      <c r="C26" s="16">
        <v>1471139.3499999999</v>
      </c>
      <c r="D26" s="16">
        <f t="shared" si="0"/>
        <v>148363844.01</v>
      </c>
      <c r="E26" s="16">
        <v>11294109.679999998</v>
      </c>
      <c r="F26" s="17">
        <f>52886/31</f>
        <v>1706</v>
      </c>
      <c r="G26" s="16">
        <f>+E26/F26/31</f>
        <v>213.55575539840407</v>
      </c>
      <c r="I26" s="16">
        <v>5759995.9399999995</v>
      </c>
      <c r="J26" s="16">
        <v>3501173.9899999998</v>
      </c>
      <c r="K26" s="16">
        <v>903528.7799999999</v>
      </c>
      <c r="L26" s="16">
        <v>1129410.9900000002</v>
      </c>
      <c r="M26" s="16">
        <v>0</v>
      </c>
    </row>
    <row r="27" spans="1:13" ht="13.5" thickBot="1">
      <c r="A27" s="60" t="s">
        <v>20</v>
      </c>
      <c r="B27" s="61">
        <f>SUM(B15:B26)</f>
        <v>1965659038.8700001</v>
      </c>
      <c r="C27" s="61">
        <f>SUM(C15:C26)</f>
        <v>20640018.044999998</v>
      </c>
      <c r="D27" s="61">
        <f>SUM(D15:D26)</f>
        <v>1814135919.0889997</v>
      </c>
      <c r="E27" s="61">
        <f>SUM(E15:E26)</f>
        <v>130883101.73600002</v>
      </c>
      <c r="F27" s="62">
        <f>AVERAGE(F15:F26)</f>
        <v>1706.989247311828</v>
      </c>
      <c r="G27" s="61">
        <f>AVERAGE(G15:G26)</f>
        <v>210.05430075257462</v>
      </c>
      <c r="H27" s="33"/>
      <c r="I27" s="61">
        <f>SUM(I15:I26)</f>
        <v>62250382.00101999</v>
      </c>
      <c r="J27" s="61">
        <f>SUM(J15:J26)</f>
        <v>40573761.64000001</v>
      </c>
      <c r="K27" s="61">
        <f>SUM(K15:K26)</f>
        <v>12470648.27908</v>
      </c>
      <c r="L27" s="61">
        <f>SUM(L15:L26)</f>
        <v>13088310.370000001</v>
      </c>
      <c r="M27" s="61">
        <f>SUM(M15:M26)</f>
        <v>2500000</v>
      </c>
    </row>
    <row r="28" spans="2:13" ht="10.5" customHeight="1" thickTop="1">
      <c r="B28" s="19"/>
      <c r="C28" s="19"/>
      <c r="D28" s="19"/>
      <c r="E28" s="19"/>
      <c r="I28" s="19"/>
      <c r="J28" s="19"/>
      <c r="K28" s="19"/>
      <c r="L28" s="19"/>
      <c r="M28" s="19"/>
    </row>
    <row r="29" spans="1:13" s="22" customFormat="1" ht="12.75">
      <c r="A29" s="20"/>
      <c r="B29" s="21"/>
      <c r="C29" s="21">
        <f>C27/B27</f>
        <v>0.010500304293294599</v>
      </c>
      <c r="D29" s="21">
        <f>D27/B27</f>
        <v>0.9229148510577365</v>
      </c>
      <c r="E29" s="21">
        <f>E27/B27</f>
        <v>0.06658484464896866</v>
      </c>
      <c r="I29" s="21">
        <f>I27/$E$27</f>
        <v>0.47561817511463916</v>
      </c>
      <c r="J29" s="21">
        <f>J27/$E$27</f>
        <v>0.3100000007780989</v>
      </c>
      <c r="K29" s="21">
        <f>K27/$E$27</f>
        <v>0.095280812524096</v>
      </c>
      <c r="L29" s="21">
        <f>L27/$E$27</f>
        <v>0.10000000150057568</v>
      </c>
      <c r="M29" s="21">
        <f>M27/$E$27</f>
        <v>0.019101014316138896</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104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s="46" customFormat="1" ht="6" customHeight="1">
      <c r="A58" s="49"/>
      <c r="B58" s="43"/>
      <c r="C58" s="43"/>
      <c r="E58" s="47"/>
      <c r="F58" s="48"/>
      <c r="G58" s="43"/>
      <c r="H58" s="43"/>
      <c r="I58" s="43"/>
      <c r="J58" s="43"/>
      <c r="K58" s="43"/>
      <c r="L58" s="43"/>
      <c r="M58" s="47"/>
    </row>
    <row r="59" spans="1:13" s="46" customFormat="1" ht="12.75">
      <c r="A59" s="42" t="s">
        <v>115</v>
      </c>
      <c r="B59" s="16"/>
      <c r="C59" s="65" t="s">
        <v>116</v>
      </c>
      <c r="D59" s="16"/>
      <c r="E59" s="16"/>
      <c r="F59" s="17"/>
      <c r="G59" s="16"/>
      <c r="H59" s="16"/>
      <c r="I59" s="16"/>
      <c r="J59" s="16"/>
      <c r="K59" s="16"/>
      <c r="L59" s="16"/>
      <c r="M59" s="47"/>
    </row>
    <row r="60" spans="1:13" s="46" customFormat="1" ht="12.75">
      <c r="A60" s="3"/>
      <c r="B60" s="16"/>
      <c r="C60" s="66" t="s">
        <v>117</v>
      </c>
      <c r="D60" s="16"/>
      <c r="E60" s="16"/>
      <c r="F60" s="17"/>
      <c r="G60" s="16"/>
      <c r="H60" s="16"/>
      <c r="I60" s="16"/>
      <c r="J60" s="16"/>
      <c r="K60" s="16"/>
      <c r="L60" s="16"/>
      <c r="M60" s="47"/>
    </row>
    <row r="61" spans="1:13" ht="12.75">
      <c r="A61" s="29"/>
      <c r="B61" s="30"/>
      <c r="C61" s="30"/>
      <c r="D61" s="26"/>
      <c r="E61" s="30"/>
      <c r="F61" s="31"/>
      <c r="G61" s="30"/>
      <c r="H61" s="30"/>
      <c r="I61" s="30"/>
      <c r="J61" s="30"/>
      <c r="K61" s="30"/>
      <c r="L61" s="30"/>
      <c r="M61" s="30"/>
    </row>
    <row r="62" spans="1:13" s="23" customFormat="1" ht="12.75">
      <c r="A62" s="74" t="s">
        <v>31</v>
      </c>
      <c r="B62" s="75"/>
      <c r="C62" s="75"/>
      <c r="D62" s="75"/>
      <c r="E62" s="75"/>
      <c r="F62" s="75"/>
      <c r="G62" s="75"/>
      <c r="H62" s="75"/>
      <c r="I62" s="75"/>
      <c r="J62" s="75"/>
      <c r="K62" s="75"/>
      <c r="L62" s="75"/>
      <c r="M62" s="81"/>
    </row>
    <row r="63" ht="12.75">
      <c r="A63" s="24"/>
    </row>
    <row r="64" spans="1:13" ht="13.5">
      <c r="A64" s="32"/>
      <c r="E64" s="10" t="s">
        <v>9</v>
      </c>
      <c r="F64" s="76" t="s">
        <v>90</v>
      </c>
      <c r="G64" s="76"/>
      <c r="H64" s="76"/>
      <c r="I64" s="76"/>
      <c r="J64" s="10" t="s">
        <v>10</v>
      </c>
      <c r="K64" s="54" t="s">
        <v>84</v>
      </c>
      <c r="L64" s="10" t="s">
        <v>45</v>
      </c>
      <c r="M64" s="34"/>
    </row>
    <row r="65" spans="1:13" ht="12.75">
      <c r="A65" s="35"/>
      <c r="E65" s="8" t="s">
        <v>17</v>
      </c>
      <c r="F65" s="8" t="s">
        <v>91</v>
      </c>
      <c r="G65" s="56" t="s">
        <v>92</v>
      </c>
      <c r="H65" s="36"/>
      <c r="I65" s="8" t="s">
        <v>93</v>
      </c>
      <c r="J65" s="8" t="s">
        <v>19</v>
      </c>
      <c r="K65" s="55" t="s">
        <v>85</v>
      </c>
      <c r="L65" s="8" t="s">
        <v>46</v>
      </c>
      <c r="M65" s="34"/>
    </row>
    <row r="66" spans="2:13" ht="12.75">
      <c r="B66" s="39" t="s">
        <v>55</v>
      </c>
      <c r="C66" s="39"/>
      <c r="D66" s="39"/>
      <c r="E66" s="57">
        <v>0.45</v>
      </c>
      <c r="F66" s="57">
        <v>0.21</v>
      </c>
      <c r="G66" s="58">
        <v>0.0875</v>
      </c>
      <c r="H66" s="59"/>
      <c r="I66" s="57">
        <v>0.0125</v>
      </c>
      <c r="J66" s="57">
        <v>0.1</v>
      </c>
      <c r="K66" s="57">
        <v>0.1</v>
      </c>
      <c r="L66" s="57">
        <v>0.04</v>
      </c>
      <c r="M66" s="38"/>
    </row>
    <row r="67" spans="2:13" ht="12.75">
      <c r="B67" s="39" t="s">
        <v>56</v>
      </c>
      <c r="C67" s="39"/>
      <c r="D67" s="39"/>
      <c r="E67" s="57">
        <v>0.49</v>
      </c>
      <c r="F67" s="57">
        <v>0.21</v>
      </c>
      <c r="G67" s="58">
        <v>0.0875</v>
      </c>
      <c r="H67" s="59"/>
      <c r="I67" s="57">
        <v>0.0125</v>
      </c>
      <c r="J67" s="57">
        <v>0.1</v>
      </c>
      <c r="K67" s="57">
        <v>0.1</v>
      </c>
      <c r="L67" s="57">
        <v>0</v>
      </c>
      <c r="M67" s="38"/>
    </row>
    <row r="68" spans="2:13" ht="12.75">
      <c r="B68" s="39" t="s">
        <v>53</v>
      </c>
      <c r="C68" s="39"/>
      <c r="D68" s="39"/>
      <c r="E68" s="57">
        <v>0.51</v>
      </c>
      <c r="F68" s="57">
        <v>0.21</v>
      </c>
      <c r="G68" s="58">
        <v>0.0875</v>
      </c>
      <c r="H68" s="59"/>
      <c r="I68" s="57">
        <v>0.0125</v>
      </c>
      <c r="J68" s="57">
        <v>0.08</v>
      </c>
      <c r="K68" s="57">
        <v>0.1</v>
      </c>
      <c r="L68" s="57">
        <v>0</v>
      </c>
      <c r="M68" s="38"/>
    </row>
    <row r="69" spans="2:13" ht="12.75">
      <c r="B69" s="39"/>
      <c r="C69" s="39"/>
      <c r="D69" s="39"/>
      <c r="E69" s="26"/>
      <c r="F69" s="27"/>
      <c r="G69" s="40"/>
      <c r="H69" s="26"/>
      <c r="I69" s="40"/>
      <c r="J69" s="40"/>
      <c r="K69" s="40"/>
      <c r="L69" s="40"/>
      <c r="M69" s="38"/>
    </row>
    <row r="70" spans="1:13" s="23" customFormat="1" ht="12.75">
      <c r="A70" s="77" t="s">
        <v>41</v>
      </c>
      <c r="B70" s="78"/>
      <c r="C70" s="78"/>
      <c r="D70" s="78"/>
      <c r="E70" s="78"/>
      <c r="F70" s="78"/>
      <c r="G70" s="78"/>
      <c r="H70" s="78"/>
      <c r="I70" s="78"/>
      <c r="J70" s="78"/>
      <c r="K70" s="78"/>
      <c r="L70" s="78"/>
      <c r="M70" s="82"/>
    </row>
    <row r="71" spans="1:6" ht="12.75">
      <c r="A71" s="24"/>
      <c r="E71"/>
      <c r="F71" s="16"/>
    </row>
    <row r="72" spans="1:13" ht="54.75" customHeight="1">
      <c r="A72" s="79" t="s">
        <v>122</v>
      </c>
      <c r="B72" s="80"/>
      <c r="C72" s="80"/>
      <c r="D72" s="80"/>
      <c r="E72" s="80"/>
      <c r="F72" s="80"/>
      <c r="G72" s="80"/>
      <c r="H72" s="80"/>
      <c r="I72" s="80"/>
      <c r="J72" s="80"/>
      <c r="K72" s="80"/>
      <c r="L72" s="80"/>
      <c r="M72" s="80"/>
    </row>
    <row r="73" spans="1:6" ht="12.75">
      <c r="A73" s="16"/>
      <c r="E73"/>
      <c r="F73" s="16"/>
    </row>
    <row r="74" spans="2:5" ht="12.75">
      <c r="B74" s="24" t="s">
        <v>42</v>
      </c>
      <c r="C74" s="24"/>
      <c r="D74" s="24"/>
      <c r="E74" s="16">
        <v>2325592</v>
      </c>
    </row>
    <row r="75" spans="2:5" ht="12.75">
      <c r="B75" s="24" t="s">
        <v>43</v>
      </c>
      <c r="C75" s="24"/>
      <c r="D75" s="24"/>
      <c r="E75" s="16">
        <v>775198</v>
      </c>
    </row>
    <row r="76" spans="2:5" ht="12.75">
      <c r="B76" s="16" t="s">
        <v>32</v>
      </c>
      <c r="D76" s="16" t="s">
        <v>32</v>
      </c>
      <c r="E76" s="16" t="s">
        <v>32</v>
      </c>
    </row>
    <row r="77" ht="12.75">
      <c r="E77" s="16" t="s">
        <v>32</v>
      </c>
    </row>
    <row r="78" ht="12.75">
      <c r="A78" s="28" t="s">
        <v>101</v>
      </c>
    </row>
  </sheetData>
  <sheetProtection/>
  <mergeCells count="12">
    <mergeCell ref="I10:M10"/>
    <mergeCell ref="A31:M31"/>
    <mergeCell ref="A62:M62"/>
    <mergeCell ref="F64:I64"/>
    <mergeCell ref="A70:M70"/>
    <mergeCell ref="A72:M72"/>
    <mergeCell ref="A1:M1"/>
    <mergeCell ref="A2:M2"/>
    <mergeCell ref="A3:M3"/>
    <mergeCell ref="A4:M4"/>
    <mergeCell ref="A5:M5"/>
    <mergeCell ref="A8:M8"/>
  </mergeCells>
  <hyperlinks>
    <hyperlink ref="A4" r:id="rId1" display="www.saratogacasino.com"/>
  </hyperlinks>
  <printOptions horizontalCentered="1"/>
  <pageMargins left="0.25" right="0.25" top="0.75" bottom="0.5" header="0.5" footer="0.5"/>
  <pageSetup fitToHeight="1" fitToWidth="1" horizontalDpi="600" verticalDpi="600" orientation="portrait" scale="71"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B6" sqref="B6"/>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111</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5">
      <c r="A4" s="72" t="s">
        <v>112</v>
      </c>
      <c r="B4" s="72"/>
      <c r="C4" s="72"/>
      <c r="D4" s="72"/>
      <c r="E4" s="72"/>
      <c r="F4" s="72"/>
      <c r="G4" s="72"/>
      <c r="H4" s="72"/>
      <c r="I4" s="72"/>
      <c r="J4" s="72"/>
      <c r="K4" s="72"/>
      <c r="L4" s="72"/>
      <c r="M4" s="72"/>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108</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42461</v>
      </c>
      <c r="B15" s="16">
        <v>203929619.32</v>
      </c>
      <c r="C15" s="16">
        <v>1647435.33</v>
      </c>
      <c r="D15" s="16">
        <f aca="true" t="shared" si="0" ref="D15:D26">+B15-C15-E15</f>
        <v>188223675.34999996</v>
      </c>
      <c r="E15" s="16">
        <v>14058508.64</v>
      </c>
      <c r="F15" s="27">
        <v>1725</v>
      </c>
      <c r="G15" s="16">
        <f>E15/F15/30</f>
        <v>271.662002705314</v>
      </c>
      <c r="I15" s="16">
        <v>6326328.9</v>
      </c>
      <c r="J15" s="16">
        <v>4358137.67</v>
      </c>
      <c r="K15" s="16">
        <v>1405850.85</v>
      </c>
      <c r="L15" s="16">
        <v>1405850.85</v>
      </c>
      <c r="M15" s="16">
        <v>562340.34</v>
      </c>
    </row>
    <row r="16" spans="1:13" ht="12.75">
      <c r="A16" s="3">
        <v>42491</v>
      </c>
      <c r="B16" s="16">
        <v>204660765.96</v>
      </c>
      <c r="C16" s="16">
        <v>1742966.35</v>
      </c>
      <c r="D16" s="16">
        <f t="shared" si="0"/>
        <v>188758392.4</v>
      </c>
      <c r="E16" s="16">
        <v>14159407.21</v>
      </c>
      <c r="F16" s="17">
        <v>1731</v>
      </c>
      <c r="G16" s="16">
        <v>264</v>
      </c>
      <c r="I16" s="16">
        <v>6371733.25</v>
      </c>
      <c r="J16" s="16">
        <v>4389416.25</v>
      </c>
      <c r="K16" s="16">
        <v>1415940.74</v>
      </c>
      <c r="L16" s="16">
        <v>1415940.74</v>
      </c>
      <c r="M16" s="16">
        <v>566376.27</v>
      </c>
    </row>
    <row r="17" spans="1:13" ht="12.75">
      <c r="A17" s="3">
        <v>42522</v>
      </c>
      <c r="B17" s="16">
        <v>196017983.75</v>
      </c>
      <c r="C17" s="16">
        <v>1696415.39</v>
      </c>
      <c r="D17" s="16">
        <f t="shared" si="0"/>
        <v>180905852.16000003</v>
      </c>
      <c r="E17" s="16">
        <v>13415716.2</v>
      </c>
      <c r="F17" s="17">
        <v>1693</v>
      </c>
      <c r="G17" s="16">
        <v>264</v>
      </c>
      <c r="I17" s="16">
        <v>6037072.31</v>
      </c>
      <c r="J17" s="16">
        <v>4158872.02</v>
      </c>
      <c r="K17" s="16">
        <v>1341571.6</v>
      </c>
      <c r="L17" s="16">
        <v>1341571.6</v>
      </c>
      <c r="M17" s="16">
        <v>536628.62</v>
      </c>
    </row>
    <row r="18" spans="1:13" ht="12.75">
      <c r="A18" s="3">
        <v>42552</v>
      </c>
      <c r="B18" s="16">
        <v>232194141.78</v>
      </c>
      <c r="C18" s="16">
        <v>1927947.79</v>
      </c>
      <c r="D18" s="16">
        <f t="shared" si="0"/>
        <v>214087548.70000002</v>
      </c>
      <c r="E18" s="16">
        <v>16178645.29</v>
      </c>
      <c r="F18" s="17">
        <v>1712</v>
      </c>
      <c r="G18" s="16">
        <v>305</v>
      </c>
      <c r="I18" s="16">
        <v>7280390.37</v>
      </c>
      <c r="J18" s="16">
        <v>5015380.02</v>
      </c>
      <c r="K18" s="16">
        <v>1617864.53</v>
      </c>
      <c r="L18" s="16">
        <v>1617864.53</v>
      </c>
      <c r="M18" s="16">
        <v>647145.81</v>
      </c>
    </row>
    <row r="19" spans="1:13" ht="12.75">
      <c r="A19" s="3">
        <v>42583</v>
      </c>
      <c r="B19" s="16">
        <v>233258756.29</v>
      </c>
      <c r="C19" s="16">
        <v>1872931.57</v>
      </c>
      <c r="D19" s="16">
        <f t="shared" si="0"/>
        <v>215463969.28</v>
      </c>
      <c r="E19" s="16">
        <v>15921855.44</v>
      </c>
      <c r="F19" s="17">
        <v>1712</v>
      </c>
      <c r="G19" s="16">
        <v>300</v>
      </c>
      <c r="I19" s="16">
        <v>7614200.22</v>
      </c>
      <c r="J19" s="16">
        <v>4935775.19</v>
      </c>
      <c r="K19" s="16">
        <v>1592185.56</v>
      </c>
      <c r="L19" s="16">
        <v>1592185.56</v>
      </c>
      <c r="M19" s="16">
        <v>187508.96</v>
      </c>
    </row>
    <row r="20" spans="1:13" ht="12.75">
      <c r="A20" s="3">
        <v>42614</v>
      </c>
      <c r="B20" s="16">
        <v>208951269.68</v>
      </c>
      <c r="C20" s="16">
        <v>1733957.09</v>
      </c>
      <c r="D20" s="16">
        <f t="shared" si="0"/>
        <v>193016121.87</v>
      </c>
      <c r="E20" s="16">
        <v>14201190.72</v>
      </c>
      <c r="F20" s="17">
        <v>1712</v>
      </c>
      <c r="G20" s="16">
        <v>277</v>
      </c>
      <c r="I20" s="16">
        <v>6958583.48</v>
      </c>
      <c r="J20" s="16">
        <v>4402369.15</v>
      </c>
      <c r="K20" s="16">
        <v>1420119.09</v>
      </c>
      <c r="L20" s="26">
        <v>1420119.11</v>
      </c>
      <c r="M20" s="16">
        <v>0</v>
      </c>
    </row>
    <row r="21" spans="1:13" ht="12.75">
      <c r="A21" s="3">
        <v>42644</v>
      </c>
      <c r="B21" s="16">
        <v>205724067.11</v>
      </c>
      <c r="C21" s="16">
        <v>1790150.26</v>
      </c>
      <c r="D21" s="16">
        <f t="shared" si="0"/>
        <v>189911828.17000002</v>
      </c>
      <c r="E21" s="16">
        <v>14022088.68</v>
      </c>
      <c r="F21" s="17">
        <v>1712</v>
      </c>
      <c r="G21" s="16">
        <v>264</v>
      </c>
      <c r="I21" s="16">
        <v>6909971.67</v>
      </c>
      <c r="J21" s="16">
        <v>4346847.48</v>
      </c>
      <c r="K21" s="16">
        <v>1363060.65</v>
      </c>
      <c r="L21" s="16">
        <v>1402208.9</v>
      </c>
      <c r="M21" s="16">
        <v>0</v>
      </c>
    </row>
    <row r="22" spans="1:13" ht="12.75">
      <c r="A22" s="3">
        <v>42675</v>
      </c>
      <c r="B22" s="16">
        <v>189438952.92</v>
      </c>
      <c r="C22" s="16">
        <v>1642029.25</v>
      </c>
      <c r="D22" s="16">
        <f t="shared" si="0"/>
        <v>174912529.41</v>
      </c>
      <c r="E22" s="16">
        <v>12884394.26</v>
      </c>
      <c r="F22" s="17">
        <v>1712</v>
      </c>
      <c r="G22" s="16">
        <v>251</v>
      </c>
      <c r="I22" s="16">
        <v>6571041.07</v>
      </c>
      <c r="J22" s="16">
        <v>3994162.2</v>
      </c>
      <c r="K22" s="16">
        <v>1030751.55</v>
      </c>
      <c r="L22" s="16">
        <v>1288439.43</v>
      </c>
      <c r="M22" s="16">
        <v>0</v>
      </c>
    </row>
    <row r="23" spans="1:13" ht="12.75">
      <c r="A23" s="3">
        <v>42705</v>
      </c>
      <c r="B23" s="16">
        <v>187746600.46</v>
      </c>
      <c r="C23" s="16">
        <v>1615223.99</v>
      </c>
      <c r="D23" s="16">
        <f t="shared" si="0"/>
        <v>173644833.59</v>
      </c>
      <c r="E23" s="16">
        <v>12486542.88</v>
      </c>
      <c r="F23" s="17">
        <v>1711</v>
      </c>
      <c r="G23" s="16">
        <v>235</v>
      </c>
      <c r="H23" s="16">
        <v>6368136.85</v>
      </c>
      <c r="I23" s="16">
        <v>6368136.85</v>
      </c>
      <c r="J23" s="16">
        <v>3870828.3</v>
      </c>
      <c r="K23" s="16">
        <v>998923.43</v>
      </c>
      <c r="L23" s="16">
        <v>1248654.29</v>
      </c>
      <c r="M23" s="16">
        <v>0</v>
      </c>
    </row>
    <row r="24" spans="1:13" ht="12.75">
      <c r="A24" s="3">
        <v>42736</v>
      </c>
      <c r="B24" s="16">
        <v>199844935.97</v>
      </c>
      <c r="C24" s="16">
        <v>2047878.86</v>
      </c>
      <c r="D24" s="16">
        <f t="shared" si="0"/>
        <v>184358367.94</v>
      </c>
      <c r="E24" s="16">
        <v>13438689.17</v>
      </c>
      <c r="F24" s="17">
        <v>1708</v>
      </c>
      <c r="G24" s="16">
        <v>254</v>
      </c>
      <c r="I24" s="16">
        <v>6853731.47</v>
      </c>
      <c r="J24" s="16">
        <v>4165993.66</v>
      </c>
      <c r="K24" s="16">
        <v>1075095.15</v>
      </c>
      <c r="L24" s="16">
        <v>1343868.92</v>
      </c>
      <c r="M24" s="16">
        <v>0</v>
      </c>
    </row>
    <row r="25" spans="1:13" ht="12.75">
      <c r="A25" s="3">
        <v>42767</v>
      </c>
      <c r="B25" s="16">
        <v>172122543.23</v>
      </c>
      <c r="C25" s="16">
        <v>1834001.56</v>
      </c>
      <c r="D25" s="16">
        <f t="shared" si="0"/>
        <v>159004038.25</v>
      </c>
      <c r="E25" s="16">
        <v>11284503.42</v>
      </c>
      <c r="F25" s="17">
        <v>1708</v>
      </c>
      <c r="G25" s="16">
        <v>236</v>
      </c>
      <c r="I25" s="16">
        <v>5755096.74</v>
      </c>
      <c r="J25" s="16">
        <v>3498196.04</v>
      </c>
      <c r="K25" s="16">
        <v>902760.27</v>
      </c>
      <c r="L25" s="16">
        <v>1128450.35</v>
      </c>
      <c r="M25" s="16">
        <v>0</v>
      </c>
    </row>
    <row r="26" spans="1:13" ht="12.75">
      <c r="A26" s="3">
        <v>42795</v>
      </c>
      <c r="B26" s="16">
        <v>184023021.12</v>
      </c>
      <c r="C26" s="16">
        <v>2153954.09</v>
      </c>
      <c r="D26" s="16">
        <f t="shared" si="0"/>
        <v>169889667.22</v>
      </c>
      <c r="E26" s="16">
        <v>11979399.81</v>
      </c>
      <c r="F26" s="17">
        <v>1706</v>
      </c>
      <c r="G26" s="16">
        <v>227</v>
      </c>
      <c r="I26" s="16">
        <v>6109493.92</v>
      </c>
      <c r="J26" s="16">
        <v>3713613.95</v>
      </c>
      <c r="K26" s="16">
        <v>958351.97</v>
      </c>
      <c r="L26" s="16">
        <v>1197939.95</v>
      </c>
      <c r="M26" s="16">
        <v>0</v>
      </c>
    </row>
    <row r="27" spans="1:13" ht="13.5" thickBot="1">
      <c r="A27" s="60" t="s">
        <v>20</v>
      </c>
      <c r="B27" s="61">
        <f>SUM(B15:B26)</f>
        <v>2417912657.5899997</v>
      </c>
      <c r="C27" s="61">
        <f>SUM(C15:C26)</f>
        <v>21704891.529999997</v>
      </c>
      <c r="D27" s="61">
        <f>SUM(D15:D26)</f>
        <v>2232176824.34</v>
      </c>
      <c r="E27" s="61">
        <f>SUM(E15:E26)</f>
        <v>164030941.72</v>
      </c>
      <c r="F27" s="62">
        <f>AVERAGE(F15:F26)</f>
        <v>1711.8333333333333</v>
      </c>
      <c r="G27" s="61">
        <f>AVERAGE(G15:G26)</f>
        <v>262.38850022544284</v>
      </c>
      <c r="H27" s="33"/>
      <c r="I27" s="61">
        <f>SUM(I15:I26)</f>
        <v>79155780.25</v>
      </c>
      <c r="J27" s="61">
        <f>SUM(J15:J26)</f>
        <v>50849591.93</v>
      </c>
      <c r="K27" s="61">
        <f>SUM(K15:K26)</f>
        <v>15122475.39</v>
      </c>
      <c r="L27" s="61">
        <f>SUM(L15:L26)</f>
        <v>16403094.229999997</v>
      </c>
      <c r="M27" s="61">
        <f>SUM(M15:M26)</f>
        <v>2500000</v>
      </c>
    </row>
    <row r="28" spans="2:13" ht="10.5" customHeight="1" thickTop="1">
      <c r="B28" s="19"/>
      <c r="C28" s="19"/>
      <c r="D28" s="19"/>
      <c r="E28" s="19"/>
      <c r="I28" s="19"/>
      <c r="J28" s="19"/>
      <c r="K28" s="19"/>
      <c r="L28" s="19"/>
      <c r="M28" s="19"/>
    </row>
    <row r="29" spans="1:13" s="22" customFormat="1" ht="12.75">
      <c r="A29" s="20"/>
      <c r="B29" s="21"/>
      <c r="C29" s="21">
        <f>C27/B27</f>
        <v>0.008976706194025165</v>
      </c>
      <c r="D29" s="21">
        <f>D27/B27</f>
        <v>0.923183398429649</v>
      </c>
      <c r="E29" s="21">
        <f>E27/B27</f>
        <v>0.06783989537632602</v>
      </c>
      <c r="I29" s="21">
        <f>I27/$E$27</f>
        <v>0.4825661513613604</v>
      </c>
      <c r="J29" s="21">
        <f>J27/$E$27</f>
        <v>0.3099999999804915</v>
      </c>
      <c r="K29" s="21">
        <f>K27/$E$27</f>
        <v>0.09219282186292627</v>
      </c>
      <c r="L29" s="21">
        <f>L27/$E$27</f>
        <v>0.1000000003535918</v>
      </c>
      <c r="M29" s="21">
        <f>M27/$E$27</f>
        <v>0.015241026929342925</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104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ht="12.75">
      <c r="A58" s="29"/>
      <c r="B58" s="30"/>
      <c r="C58" s="30"/>
      <c r="D58" s="26"/>
      <c r="E58" s="30"/>
      <c r="F58" s="31"/>
      <c r="G58" s="30"/>
      <c r="H58" s="30"/>
      <c r="I58" s="30"/>
      <c r="J58" s="30"/>
      <c r="K58" s="30"/>
      <c r="L58" s="30"/>
      <c r="M58" s="30"/>
    </row>
    <row r="59" spans="1:13" s="23" customFormat="1" ht="12.75">
      <c r="A59" s="74" t="s">
        <v>31</v>
      </c>
      <c r="B59" s="75"/>
      <c r="C59" s="75"/>
      <c r="D59" s="75"/>
      <c r="E59" s="75"/>
      <c r="F59" s="75"/>
      <c r="G59" s="75"/>
      <c r="H59" s="75"/>
      <c r="I59" s="75"/>
      <c r="J59" s="75"/>
      <c r="K59" s="75"/>
      <c r="L59" s="75"/>
      <c r="M59" s="81"/>
    </row>
    <row r="60" ht="12.75">
      <c r="A60" s="24"/>
    </row>
    <row r="61" spans="1:13" ht="13.5">
      <c r="A61" s="32"/>
      <c r="E61" s="10" t="s">
        <v>9</v>
      </c>
      <c r="F61" s="76" t="s">
        <v>90</v>
      </c>
      <c r="G61" s="76"/>
      <c r="H61" s="76"/>
      <c r="I61" s="76"/>
      <c r="J61" s="10" t="s">
        <v>10</v>
      </c>
      <c r="K61" s="54" t="s">
        <v>84</v>
      </c>
      <c r="L61" s="10" t="s">
        <v>45</v>
      </c>
      <c r="M61" s="34"/>
    </row>
    <row r="62" spans="1:13" ht="12.75">
      <c r="A62" s="35"/>
      <c r="E62" s="8" t="s">
        <v>17</v>
      </c>
      <c r="F62" s="8" t="s">
        <v>91</v>
      </c>
      <c r="G62" s="56" t="s">
        <v>92</v>
      </c>
      <c r="H62" s="36"/>
      <c r="I62" s="8" t="s">
        <v>93</v>
      </c>
      <c r="J62" s="8" t="s">
        <v>19</v>
      </c>
      <c r="K62" s="55" t="s">
        <v>85</v>
      </c>
      <c r="L62" s="8" t="s">
        <v>46</v>
      </c>
      <c r="M62" s="34"/>
    </row>
    <row r="63" spans="2:13" ht="12.75">
      <c r="B63" s="39" t="s">
        <v>55</v>
      </c>
      <c r="C63" s="39"/>
      <c r="D63" s="39"/>
      <c r="E63" s="57">
        <v>0.45</v>
      </c>
      <c r="F63" s="57">
        <v>0.21</v>
      </c>
      <c r="G63" s="58">
        <v>0.0875</v>
      </c>
      <c r="H63" s="59"/>
      <c r="I63" s="57">
        <v>0.0125</v>
      </c>
      <c r="J63" s="57">
        <v>0.1</v>
      </c>
      <c r="K63" s="57">
        <v>0.1</v>
      </c>
      <c r="L63" s="57">
        <v>0.04</v>
      </c>
      <c r="M63" s="38"/>
    </row>
    <row r="64" spans="2:13" ht="12.75">
      <c r="B64" s="39" t="s">
        <v>56</v>
      </c>
      <c r="C64" s="39"/>
      <c r="D64" s="39"/>
      <c r="E64" s="57">
        <v>0.49</v>
      </c>
      <c r="F64" s="57">
        <v>0.21</v>
      </c>
      <c r="G64" s="58">
        <v>0.0875</v>
      </c>
      <c r="H64" s="59"/>
      <c r="I64" s="57">
        <v>0.0125</v>
      </c>
      <c r="J64" s="57">
        <v>0.1</v>
      </c>
      <c r="K64" s="57">
        <v>0.1</v>
      </c>
      <c r="L64" s="57">
        <v>0</v>
      </c>
      <c r="M64" s="38"/>
    </row>
    <row r="65" spans="2:13" ht="12.75">
      <c r="B65" s="39" t="s">
        <v>53</v>
      </c>
      <c r="C65" s="39"/>
      <c r="D65" s="39"/>
      <c r="E65" s="57">
        <v>0.51</v>
      </c>
      <c r="F65" s="57">
        <v>0.21</v>
      </c>
      <c r="G65" s="58">
        <v>0.0875</v>
      </c>
      <c r="H65" s="59"/>
      <c r="I65" s="57">
        <v>0.0125</v>
      </c>
      <c r="J65" s="57">
        <v>0.08</v>
      </c>
      <c r="K65" s="57">
        <v>0.1</v>
      </c>
      <c r="L65" s="57">
        <v>0</v>
      </c>
      <c r="M65" s="38"/>
    </row>
    <row r="66" spans="2:13" ht="12.75">
      <c r="B66" s="39"/>
      <c r="C66" s="39"/>
      <c r="D66" s="39"/>
      <c r="E66" s="26"/>
      <c r="F66" s="27"/>
      <c r="G66" s="40"/>
      <c r="H66" s="26"/>
      <c r="I66" s="40"/>
      <c r="J66" s="40"/>
      <c r="K66" s="40"/>
      <c r="L66" s="40"/>
      <c r="M66" s="38"/>
    </row>
    <row r="67" spans="1:13" s="23" customFormat="1" ht="12.75">
      <c r="A67" s="77" t="s">
        <v>41</v>
      </c>
      <c r="B67" s="78"/>
      <c r="C67" s="78"/>
      <c r="D67" s="78"/>
      <c r="E67" s="78"/>
      <c r="F67" s="78"/>
      <c r="G67" s="78"/>
      <c r="H67" s="78"/>
      <c r="I67" s="78"/>
      <c r="J67" s="78"/>
      <c r="K67" s="78"/>
      <c r="L67" s="78"/>
      <c r="M67" s="82"/>
    </row>
    <row r="68" spans="1:6" ht="12.75">
      <c r="A68" s="24"/>
      <c r="E68"/>
      <c r="F68" s="16"/>
    </row>
    <row r="69" spans="1:13" ht="54.75" customHeight="1">
      <c r="A69" s="79" t="s">
        <v>110</v>
      </c>
      <c r="B69" s="80"/>
      <c r="C69" s="80"/>
      <c r="D69" s="80"/>
      <c r="E69" s="80"/>
      <c r="F69" s="80"/>
      <c r="G69" s="80"/>
      <c r="H69" s="80"/>
      <c r="I69" s="80"/>
      <c r="J69" s="80"/>
      <c r="K69" s="80"/>
      <c r="L69" s="80"/>
      <c r="M69" s="80"/>
    </row>
    <row r="70" spans="1:6" ht="12.75">
      <c r="A70" s="16"/>
      <c r="E70"/>
      <c r="F70" s="16"/>
    </row>
    <row r="71" spans="2:5" ht="12.75">
      <c r="B71" s="24" t="s">
        <v>42</v>
      </c>
      <c r="C71" s="24"/>
      <c r="D71" s="24"/>
      <c r="E71" s="16">
        <v>2325592</v>
      </c>
    </row>
    <row r="72" spans="2:5" ht="12.75">
      <c r="B72" s="24" t="s">
        <v>43</v>
      </c>
      <c r="C72" s="24"/>
      <c r="D72" s="24"/>
      <c r="E72" s="16">
        <v>775198</v>
      </c>
    </row>
    <row r="73" spans="2:5" ht="12.75">
      <c r="B73" s="16" t="s">
        <v>32</v>
      </c>
      <c r="D73" s="16" t="s">
        <v>32</v>
      </c>
      <c r="E73" s="16" t="s">
        <v>32</v>
      </c>
    </row>
    <row r="74" ht="12.75">
      <c r="E74" s="16" t="s">
        <v>32</v>
      </c>
    </row>
    <row r="75" ht="12.75">
      <c r="A75" s="28" t="s">
        <v>101</v>
      </c>
    </row>
  </sheetData>
  <sheetProtection/>
  <mergeCells count="12">
    <mergeCell ref="I10:M10"/>
    <mergeCell ref="A31:M31"/>
    <mergeCell ref="A59:M59"/>
    <mergeCell ref="F61:I61"/>
    <mergeCell ref="A67:M67"/>
    <mergeCell ref="A69:M69"/>
    <mergeCell ref="A1:M1"/>
    <mergeCell ref="A2:M2"/>
    <mergeCell ref="A3:M3"/>
    <mergeCell ref="A4:M4"/>
    <mergeCell ref="A5:M5"/>
    <mergeCell ref="A8:M8"/>
  </mergeCells>
  <hyperlinks>
    <hyperlink ref="A4" r:id="rId1" display="www.saratogacasino.com"/>
  </hyperlinks>
  <printOptions horizontalCentered="1"/>
  <pageMargins left="0.25" right="0.25" top="0.75" bottom="0.5" header="0.5" footer="0.5"/>
  <pageSetup fitToHeight="1" fitToWidth="1" horizontalDpi="600" verticalDpi="600" orientation="portrait" scale="71"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M75"/>
  <sheetViews>
    <sheetView zoomScalePageLayoutView="0" workbookViewId="0" topLeftCell="A1">
      <selection activeCell="A28" sqref="A28"/>
    </sheetView>
  </sheetViews>
  <sheetFormatPr defaultColWidth="9.140625" defaultRowHeight="12.75"/>
  <cols>
    <col min="1" max="1" width="9.28125" style="3" customWidth="1"/>
    <col min="2" max="2" width="14.140625" style="16" customWidth="1"/>
    <col min="3" max="3" width="12.8515625" style="16" customWidth="1"/>
    <col min="4" max="4" width="14.140625" style="16" customWidth="1"/>
    <col min="5" max="5" width="12.7109375" style="16" customWidth="1"/>
    <col min="6" max="6" width="7.7109375" style="17" customWidth="1"/>
    <col min="7" max="7" width="9.28125" style="16" customWidth="1"/>
    <col min="8" max="8" width="1.421875" style="16" customWidth="1"/>
    <col min="9" max="9" width="13.140625" style="16" customWidth="1"/>
    <col min="10" max="10" width="12.57421875" style="16" customWidth="1"/>
    <col min="11" max="12" width="12.8515625" style="16" bestFit="1" customWidth="1"/>
    <col min="13" max="13" width="12.421875" style="16" customWidth="1"/>
    <col min="14" max="14" width="12.7109375" style="0" customWidth="1"/>
  </cols>
  <sheetData>
    <row r="1" spans="1:13" ht="18">
      <c r="A1" s="70" t="s">
        <v>94</v>
      </c>
      <c r="B1" s="70"/>
      <c r="C1" s="70"/>
      <c r="D1" s="70"/>
      <c r="E1" s="70"/>
      <c r="F1" s="70"/>
      <c r="G1" s="70"/>
      <c r="H1" s="70"/>
      <c r="I1" s="70"/>
      <c r="J1" s="70"/>
      <c r="K1" s="70"/>
      <c r="L1" s="70"/>
      <c r="M1" s="70"/>
    </row>
    <row r="2" spans="1:13" ht="15">
      <c r="A2" s="71" t="s">
        <v>1</v>
      </c>
      <c r="B2" s="71"/>
      <c r="C2" s="71"/>
      <c r="D2" s="71"/>
      <c r="E2" s="71"/>
      <c r="F2" s="71"/>
      <c r="G2" s="71"/>
      <c r="H2" s="71"/>
      <c r="I2" s="71"/>
      <c r="J2" s="71"/>
      <c r="K2" s="71"/>
      <c r="L2" s="71"/>
      <c r="M2" s="71"/>
    </row>
    <row r="3" spans="1:13" s="1" customFormat="1" ht="15">
      <c r="A3" s="71" t="s">
        <v>2</v>
      </c>
      <c r="B3" s="71"/>
      <c r="C3" s="71"/>
      <c r="D3" s="71"/>
      <c r="E3" s="71"/>
      <c r="F3" s="71"/>
      <c r="G3" s="71"/>
      <c r="H3" s="71"/>
      <c r="I3" s="71"/>
      <c r="J3" s="71"/>
      <c r="K3" s="71"/>
      <c r="L3" s="71"/>
      <c r="M3" s="71"/>
    </row>
    <row r="4" spans="1:13" s="1" customFormat="1" ht="14.25">
      <c r="A4" s="83" t="s">
        <v>3</v>
      </c>
      <c r="B4" s="83"/>
      <c r="C4" s="83"/>
      <c r="D4" s="83"/>
      <c r="E4" s="83"/>
      <c r="F4" s="83"/>
      <c r="G4" s="83"/>
      <c r="H4" s="83"/>
      <c r="I4" s="83"/>
      <c r="J4" s="83"/>
      <c r="K4" s="83"/>
      <c r="L4" s="83"/>
      <c r="M4" s="83"/>
    </row>
    <row r="5" spans="1:13" s="1" customFormat="1" ht="14.25">
      <c r="A5" s="73" t="s">
        <v>4</v>
      </c>
      <c r="B5" s="73"/>
      <c r="C5" s="73"/>
      <c r="D5" s="73"/>
      <c r="E5" s="73"/>
      <c r="F5" s="73"/>
      <c r="G5" s="73"/>
      <c r="H5" s="73"/>
      <c r="I5" s="73"/>
      <c r="J5" s="73"/>
      <c r="K5" s="73"/>
      <c r="L5" s="73"/>
      <c r="M5" s="73"/>
    </row>
    <row r="6" spans="1:13" s="1" customFormat="1" ht="14.25">
      <c r="A6" s="2"/>
      <c r="B6" s="2"/>
      <c r="C6" s="2"/>
      <c r="D6" s="2"/>
      <c r="E6" s="2"/>
      <c r="F6" s="2"/>
      <c r="G6" s="2"/>
      <c r="H6" s="2"/>
      <c r="I6" s="2"/>
      <c r="J6" s="2"/>
      <c r="K6" s="2"/>
      <c r="L6" s="2"/>
      <c r="M6" s="2"/>
    </row>
    <row r="7" spans="1:13" s="1" customFormat="1" ht="12.75">
      <c r="A7" s="3"/>
      <c r="B7" s="4"/>
      <c r="C7" s="4"/>
      <c r="D7" s="4"/>
      <c r="E7" s="5"/>
      <c r="F7" s="6"/>
      <c r="G7" s="5"/>
      <c r="H7" s="5"/>
      <c r="I7" s="5"/>
      <c r="J7" s="5"/>
      <c r="K7" s="5"/>
      <c r="L7" s="5"/>
      <c r="M7" s="5"/>
    </row>
    <row r="8" spans="1:13" s="7" customFormat="1" ht="14.25" customHeight="1">
      <c r="A8" s="74" t="s">
        <v>107</v>
      </c>
      <c r="B8" s="75"/>
      <c r="C8" s="75"/>
      <c r="D8" s="75"/>
      <c r="E8" s="75"/>
      <c r="F8" s="75"/>
      <c r="G8" s="75"/>
      <c r="H8" s="75"/>
      <c r="I8" s="75"/>
      <c r="J8" s="75"/>
      <c r="K8" s="75"/>
      <c r="L8" s="75"/>
      <c r="M8" s="81"/>
    </row>
    <row r="9" spans="1:13" s="1" customFormat="1" ht="9" customHeight="1">
      <c r="A9" s="3"/>
      <c r="B9" s="4"/>
      <c r="C9" s="4"/>
      <c r="D9" s="4"/>
      <c r="E9" s="5"/>
      <c r="F9" s="6"/>
      <c r="G9" s="5"/>
      <c r="H9" s="5"/>
      <c r="I9" s="5"/>
      <c r="J9" s="5"/>
      <c r="K9" s="5"/>
      <c r="L9" s="5"/>
      <c r="M9" s="5"/>
    </row>
    <row r="10" spans="1:13" s="1" customFormat="1" ht="12.75">
      <c r="A10" s="3"/>
      <c r="B10" s="5"/>
      <c r="C10" s="5"/>
      <c r="D10" s="5"/>
      <c r="E10" s="5"/>
      <c r="F10" s="6"/>
      <c r="G10" s="5"/>
      <c r="H10" s="5"/>
      <c r="I10" s="76" t="s">
        <v>5</v>
      </c>
      <c r="J10" s="76"/>
      <c r="K10" s="76"/>
      <c r="L10" s="76"/>
      <c r="M10" s="76"/>
    </row>
    <row r="11" spans="1:13" s="1" customFormat="1" ht="12.75">
      <c r="A11" s="3"/>
      <c r="B11" s="5"/>
      <c r="C11" s="5"/>
      <c r="D11" s="5"/>
      <c r="E11" s="5"/>
      <c r="F11" s="6"/>
      <c r="G11" s="5"/>
      <c r="H11" s="5"/>
      <c r="I11" s="5"/>
      <c r="J11" s="5"/>
      <c r="K11" s="5"/>
      <c r="L11" s="5"/>
      <c r="M11" s="5"/>
    </row>
    <row r="12" spans="1:13" s="12" customFormat="1" ht="12">
      <c r="A12" s="9"/>
      <c r="B12" s="10" t="s">
        <v>6</v>
      </c>
      <c r="C12" s="10" t="s">
        <v>75</v>
      </c>
      <c r="D12" s="10" t="s">
        <v>6</v>
      </c>
      <c r="E12" s="10"/>
      <c r="F12" s="11" t="s">
        <v>7</v>
      </c>
      <c r="G12" s="10" t="s">
        <v>8</v>
      </c>
      <c r="H12" s="10"/>
      <c r="I12" s="10" t="s">
        <v>9</v>
      </c>
      <c r="J12" s="10" t="s">
        <v>83</v>
      </c>
      <c r="K12" s="10" t="s">
        <v>10</v>
      </c>
      <c r="L12" s="10" t="s">
        <v>84</v>
      </c>
      <c r="M12" s="10" t="s">
        <v>45</v>
      </c>
    </row>
    <row r="13" spans="1:13" s="12" customFormat="1" ht="12">
      <c r="A13" s="13" t="s">
        <v>11</v>
      </c>
      <c r="B13" s="8" t="s">
        <v>12</v>
      </c>
      <c r="C13" s="8" t="s">
        <v>19</v>
      </c>
      <c r="D13" s="8" t="s">
        <v>13</v>
      </c>
      <c r="E13" s="8" t="s">
        <v>14</v>
      </c>
      <c r="F13" s="14" t="s">
        <v>15</v>
      </c>
      <c r="G13" s="8" t="s">
        <v>16</v>
      </c>
      <c r="H13" s="15"/>
      <c r="I13" s="8" t="s">
        <v>17</v>
      </c>
      <c r="J13" s="8" t="s">
        <v>18</v>
      </c>
      <c r="K13" s="8" t="s">
        <v>19</v>
      </c>
      <c r="L13" s="8" t="s">
        <v>85</v>
      </c>
      <c r="M13" s="8" t="s">
        <v>46</v>
      </c>
    </row>
    <row r="15" spans="1:13" ht="12.75">
      <c r="A15" s="3">
        <v>42095</v>
      </c>
      <c r="B15" s="16">
        <v>193680324.35</v>
      </c>
      <c r="C15" s="16">
        <v>1748997.03</v>
      </c>
      <c r="D15" s="16">
        <f aca="true" t="shared" si="0" ref="D15:D26">+B15-C15-E15</f>
        <v>178375613.67</v>
      </c>
      <c r="E15" s="16">
        <v>13555713.65</v>
      </c>
      <c r="F15" s="27">
        <v>1782</v>
      </c>
      <c r="G15" s="16">
        <f>E15/F15/30</f>
        <v>253.56740834268612</v>
      </c>
      <c r="I15" s="16">
        <v>6100071.13</v>
      </c>
      <c r="J15" s="16">
        <v>4202271.22</v>
      </c>
      <c r="K15" s="16">
        <v>1355571.37</v>
      </c>
      <c r="L15" s="16">
        <v>1355571.37</v>
      </c>
      <c r="M15" s="16">
        <v>542228.54</v>
      </c>
    </row>
    <row r="16" spans="1:13" ht="12.75">
      <c r="A16" s="3">
        <v>42125</v>
      </c>
      <c r="B16" s="16">
        <v>210328416.7</v>
      </c>
      <c r="C16" s="16">
        <v>1971185.49</v>
      </c>
      <c r="D16" s="16">
        <f t="shared" si="0"/>
        <v>193596228.76999998</v>
      </c>
      <c r="E16" s="16">
        <v>14761002.44</v>
      </c>
      <c r="F16" s="17">
        <v>1782</v>
      </c>
      <c r="G16" s="16">
        <f>E16/F16/31</f>
        <v>267.20615546142426</v>
      </c>
      <c r="I16" s="16">
        <v>6642451.12</v>
      </c>
      <c r="J16" s="16">
        <v>4575910.76</v>
      </c>
      <c r="K16" s="16">
        <v>1476100.27</v>
      </c>
      <c r="L16" s="16">
        <v>1476100.27</v>
      </c>
      <c r="M16" s="16">
        <v>590440.09</v>
      </c>
    </row>
    <row r="17" spans="1:13" ht="12.75">
      <c r="A17" s="3">
        <v>42156</v>
      </c>
      <c r="B17" s="16">
        <v>194536720.69</v>
      </c>
      <c r="C17" s="16">
        <v>1947680.65</v>
      </c>
      <c r="D17" s="16">
        <f t="shared" si="0"/>
        <v>178888180.20999998</v>
      </c>
      <c r="E17" s="16">
        <v>13700859.83</v>
      </c>
      <c r="F17" s="17">
        <v>1781</v>
      </c>
      <c r="G17" s="16">
        <f>E17/F17/30</f>
        <v>256.4263490548381</v>
      </c>
      <c r="I17" s="16">
        <v>6165386.93</v>
      </c>
      <c r="J17" s="16">
        <v>4247266.56</v>
      </c>
      <c r="K17" s="16">
        <v>1370086</v>
      </c>
      <c r="L17" s="16">
        <v>1370086</v>
      </c>
      <c r="M17" s="16">
        <v>548034.4</v>
      </c>
    </row>
    <row r="18" spans="1:13" ht="12.75">
      <c r="A18" s="3">
        <v>42186</v>
      </c>
      <c r="B18" s="16">
        <v>205177841.52</v>
      </c>
      <c r="C18" s="16">
        <v>1890667.79</v>
      </c>
      <c r="D18" s="16">
        <f t="shared" si="0"/>
        <v>188529806.15</v>
      </c>
      <c r="E18" s="16">
        <v>14757367.58</v>
      </c>
      <c r="F18" s="17">
        <v>1782</v>
      </c>
      <c r="G18" s="16">
        <f>E18/F18/31</f>
        <v>267.1403566127222</v>
      </c>
      <c r="I18" s="16">
        <v>6640815.43</v>
      </c>
      <c r="J18" s="16">
        <v>4574783.92</v>
      </c>
      <c r="K18" s="16">
        <v>1475736.78</v>
      </c>
      <c r="L18" s="16">
        <v>1475736.78</v>
      </c>
      <c r="M18" s="16">
        <v>590294.68</v>
      </c>
    </row>
    <row r="19" spans="1:13" ht="12.75">
      <c r="A19" s="3">
        <v>42217</v>
      </c>
      <c r="B19" s="16">
        <v>218198717.26</v>
      </c>
      <c r="C19" s="16">
        <v>1888188.91</v>
      </c>
      <c r="D19" s="16">
        <f t="shared" si="0"/>
        <v>200821395.91</v>
      </c>
      <c r="E19" s="16">
        <v>15489132.44</v>
      </c>
      <c r="F19" s="17">
        <v>1753</v>
      </c>
      <c r="G19" s="16">
        <f>E19/F19/31</f>
        <v>285.0253471468266</v>
      </c>
      <c r="I19" s="16">
        <v>7360672.62</v>
      </c>
      <c r="J19" s="16">
        <v>4801631.09</v>
      </c>
      <c r="K19" s="16">
        <v>1548913.24</v>
      </c>
      <c r="L19" s="16">
        <v>1548913.24</v>
      </c>
      <c r="M19" s="16">
        <v>229002.29</v>
      </c>
    </row>
    <row r="20" spans="1:13" ht="12.75">
      <c r="A20" s="3">
        <v>42248</v>
      </c>
      <c r="B20" s="16">
        <v>190203476.57</v>
      </c>
      <c r="C20" s="16">
        <v>1747542.94</v>
      </c>
      <c r="D20" s="16">
        <f t="shared" si="0"/>
        <v>174865987.73</v>
      </c>
      <c r="E20" s="16">
        <v>13589945.9</v>
      </c>
      <c r="F20" s="17">
        <v>1733</v>
      </c>
      <c r="G20" s="16">
        <f>E20/F20/30</f>
        <v>261.3953818041931</v>
      </c>
      <c r="I20" s="16">
        <v>6659073.49</v>
      </c>
      <c r="J20" s="16">
        <v>4212883.21</v>
      </c>
      <c r="K20" s="16">
        <v>1358994.62</v>
      </c>
      <c r="L20" s="16">
        <v>1358994.62</v>
      </c>
      <c r="M20" s="16">
        <v>0</v>
      </c>
    </row>
    <row r="21" spans="1:13" ht="12.75">
      <c r="A21" s="3">
        <v>42278</v>
      </c>
      <c r="B21" s="16">
        <v>190247188.01</v>
      </c>
      <c r="C21" s="16">
        <v>1687494.65</v>
      </c>
      <c r="D21" s="16">
        <f t="shared" si="0"/>
        <v>175246053.14999998</v>
      </c>
      <c r="E21" s="16">
        <v>13313640.21</v>
      </c>
      <c r="F21" s="17">
        <v>1733</v>
      </c>
      <c r="G21" s="16">
        <f>E21/F21/31</f>
        <v>247.82011819890923</v>
      </c>
      <c r="I21" s="16">
        <v>6523683.73</v>
      </c>
      <c r="J21" s="16">
        <v>4127228.48</v>
      </c>
      <c r="K21" s="16">
        <v>1331364.04</v>
      </c>
      <c r="L21" s="16">
        <v>1331364.04</v>
      </c>
      <c r="M21" s="16">
        <v>0</v>
      </c>
    </row>
    <row r="22" spans="1:13" ht="12.75">
      <c r="A22" s="3">
        <v>42309</v>
      </c>
      <c r="B22" s="16">
        <v>174089537.74</v>
      </c>
      <c r="C22" s="16">
        <v>1536989.05</v>
      </c>
      <c r="D22" s="16">
        <f t="shared" si="0"/>
        <v>160245845.49</v>
      </c>
      <c r="E22" s="16">
        <v>12306703.2</v>
      </c>
      <c r="F22" s="17">
        <v>1734</v>
      </c>
      <c r="G22" s="16">
        <f>E22/F22/30</f>
        <v>236.57637831603228</v>
      </c>
      <c r="I22" s="16">
        <v>6259771.89</v>
      </c>
      <c r="J22" s="16">
        <v>3815077.98</v>
      </c>
      <c r="K22" s="16">
        <v>1001183.02</v>
      </c>
      <c r="L22" s="16">
        <v>1230670.33</v>
      </c>
      <c r="M22" s="16">
        <v>0</v>
      </c>
    </row>
    <row r="23" spans="1:13" ht="12.75">
      <c r="A23" s="3">
        <v>42339</v>
      </c>
      <c r="B23" s="16">
        <v>171354948.9</v>
      </c>
      <c r="C23" s="16">
        <v>1398099.69</v>
      </c>
      <c r="D23" s="16">
        <f t="shared" si="0"/>
        <v>157719111.79000002</v>
      </c>
      <c r="E23" s="16">
        <v>12237737.42</v>
      </c>
      <c r="F23" s="17">
        <v>1735</v>
      </c>
      <c r="G23" s="16">
        <f>E23/F23/31</f>
        <v>227.53067621083946</v>
      </c>
      <c r="I23" s="16">
        <v>6241246.07</v>
      </c>
      <c r="J23" s="16">
        <v>3793698.59</v>
      </c>
      <c r="K23" s="16">
        <v>979019.01</v>
      </c>
      <c r="L23" s="16">
        <v>1223773.77</v>
      </c>
      <c r="M23" s="16">
        <v>0</v>
      </c>
    </row>
    <row r="24" spans="1:13" ht="12.75">
      <c r="A24" s="3">
        <v>42370</v>
      </c>
      <c r="B24" s="16">
        <v>182830123.36</v>
      </c>
      <c r="C24" s="16">
        <v>1524184.31</v>
      </c>
      <c r="D24" s="16">
        <f t="shared" si="0"/>
        <v>168419330.35000002</v>
      </c>
      <c r="E24" s="16">
        <v>12886608.7</v>
      </c>
      <c r="F24" s="17">
        <v>1735</v>
      </c>
      <c r="G24" s="16">
        <f>E24/F24/31</f>
        <v>239.5948442874407</v>
      </c>
      <c r="I24" s="16">
        <v>6572170.44</v>
      </c>
      <c r="J24" s="16">
        <v>3994848.71</v>
      </c>
      <c r="K24" s="16">
        <v>1030928.69</v>
      </c>
      <c r="L24" s="16">
        <v>1288660.87</v>
      </c>
      <c r="M24" s="16">
        <v>0</v>
      </c>
    </row>
    <row r="25" spans="1:13" ht="12.75">
      <c r="A25" s="3">
        <v>42401</v>
      </c>
      <c r="B25" s="16">
        <v>183963940.43</v>
      </c>
      <c r="C25" s="16">
        <v>1381310.32</v>
      </c>
      <c r="D25" s="16">
        <f t="shared" si="0"/>
        <v>169430551.59</v>
      </c>
      <c r="E25" s="16">
        <v>13152078.52</v>
      </c>
      <c r="F25" s="17">
        <v>1735</v>
      </c>
      <c r="G25" s="16">
        <f>E25/F25/29</f>
        <v>261.3947832654278</v>
      </c>
      <c r="I25" s="16">
        <v>6707560.06</v>
      </c>
      <c r="J25" s="16">
        <v>4077144.32</v>
      </c>
      <c r="K25" s="16">
        <v>1052166.27</v>
      </c>
      <c r="L25" s="16">
        <v>1315207.87</v>
      </c>
      <c r="M25" s="16">
        <v>0</v>
      </c>
    </row>
    <row r="26" spans="1:13" ht="12.75">
      <c r="A26" s="3">
        <v>42430</v>
      </c>
      <c r="B26" s="16">
        <v>198757194.34</v>
      </c>
      <c r="C26" s="16">
        <v>1684939.17</v>
      </c>
      <c r="D26" s="16">
        <f t="shared" si="0"/>
        <v>183226899.78000003</v>
      </c>
      <c r="E26" s="16">
        <v>13845355.39</v>
      </c>
      <c r="F26" s="17">
        <v>1729</v>
      </c>
      <c r="G26" s="16">
        <f>E26/F26/31</f>
        <v>258.3136885016512</v>
      </c>
      <c r="I26" s="16">
        <v>7061131.28</v>
      </c>
      <c r="J26" s="16">
        <v>4292060.15</v>
      </c>
      <c r="K26" s="16">
        <v>1107628.42</v>
      </c>
      <c r="L26" s="16">
        <v>1384535.57</v>
      </c>
      <c r="M26" s="16">
        <v>0</v>
      </c>
    </row>
    <row r="27" spans="1:13" ht="13.5" thickBot="1">
      <c r="A27" s="3" t="s">
        <v>20</v>
      </c>
      <c r="B27" s="18">
        <f>SUM(B15:B26)</f>
        <v>2313368429.87</v>
      </c>
      <c r="C27" s="18">
        <f>SUM(C15:C26)</f>
        <v>20407280</v>
      </c>
      <c r="D27" s="18">
        <f>SUM(D15:D26)</f>
        <v>2129365004.5899997</v>
      </c>
      <c r="E27" s="18">
        <f>SUM(E15:E26)</f>
        <v>163596145.28000003</v>
      </c>
      <c r="I27" s="18">
        <f>SUM(I15:I26)</f>
        <v>78934034.19</v>
      </c>
      <c r="J27" s="18">
        <f>SUM(J15:J26)</f>
        <v>50714804.99</v>
      </c>
      <c r="K27" s="18">
        <f>SUM(K15:K26)</f>
        <v>15087691.729999999</v>
      </c>
      <c r="L27" s="18">
        <f>SUM(L15:L26)</f>
        <v>16359614.73</v>
      </c>
      <c r="M27" s="18">
        <f>SUM(M15:M26)</f>
        <v>2500000</v>
      </c>
    </row>
    <row r="28" spans="2:13" ht="10.5" customHeight="1" thickTop="1">
      <c r="B28" s="19"/>
      <c r="C28" s="19"/>
      <c r="D28" s="19"/>
      <c r="E28" s="19"/>
      <c r="I28" s="19"/>
      <c r="J28" s="19"/>
      <c r="K28" s="19"/>
      <c r="L28" s="19"/>
      <c r="M28" s="19"/>
    </row>
    <row r="29" spans="1:13" s="22" customFormat="1" ht="12.75">
      <c r="A29" s="20"/>
      <c r="B29" s="21"/>
      <c r="C29" s="21">
        <f>C27/B27</f>
        <v>0.008821456944126617</v>
      </c>
      <c r="D29" s="21">
        <f>D27/B27</f>
        <v>0.9204608211540518</v>
      </c>
      <c r="E29" s="21">
        <f>E27/B27</f>
        <v>0.07071772190182146</v>
      </c>
      <c r="I29" s="21">
        <f>I27/$E$27</f>
        <v>0.4824932400143162</v>
      </c>
      <c r="J29" s="21">
        <f>J27/$E$27</f>
        <v>0.30999999971392966</v>
      </c>
      <c r="K29" s="21">
        <f>K27/$E$27</f>
        <v>0.09222522758208594</v>
      </c>
      <c r="L29" s="21">
        <f>L27/$E$27</f>
        <v>0.1000000012347479</v>
      </c>
      <c r="M29" s="21">
        <f>M27/$E$27</f>
        <v>0.015281533655460953</v>
      </c>
    </row>
    <row r="31" spans="1:13" s="23" customFormat="1" ht="12.75">
      <c r="A31" s="74" t="s">
        <v>21</v>
      </c>
      <c r="B31" s="75"/>
      <c r="C31" s="75"/>
      <c r="D31" s="75"/>
      <c r="E31" s="75"/>
      <c r="F31" s="75"/>
      <c r="G31" s="75"/>
      <c r="H31" s="75"/>
      <c r="I31" s="75"/>
      <c r="J31" s="75"/>
      <c r="K31" s="75"/>
      <c r="L31" s="75"/>
      <c r="M31" s="81"/>
    </row>
    <row r="32" ht="12.75">
      <c r="A32" s="24"/>
    </row>
    <row r="33" spans="1:12" s="46" customFormat="1" ht="12.75" customHeight="1">
      <c r="A33" s="42" t="s">
        <v>22</v>
      </c>
      <c r="B33" s="43"/>
      <c r="C33" s="44" t="s">
        <v>97</v>
      </c>
      <c r="D33" s="45"/>
      <c r="E33" s="45"/>
      <c r="F33" s="45"/>
      <c r="G33" s="45"/>
      <c r="H33" s="45"/>
      <c r="I33" s="45"/>
      <c r="J33" s="45"/>
      <c r="K33" s="45"/>
      <c r="L33" s="45"/>
    </row>
    <row r="34" spans="1:12" s="46" customFormat="1" ht="12.75" customHeight="1">
      <c r="A34" s="42"/>
      <c r="B34" s="43"/>
      <c r="C34" s="44" t="s">
        <v>98</v>
      </c>
      <c r="D34" s="45"/>
      <c r="E34" s="45"/>
      <c r="F34" s="45"/>
      <c r="G34" s="45"/>
      <c r="H34" s="45"/>
      <c r="I34" s="45"/>
      <c r="J34" s="45"/>
      <c r="K34" s="45"/>
      <c r="L34" s="45"/>
    </row>
    <row r="35" spans="1:13" s="46" customFormat="1" ht="6" customHeight="1">
      <c r="A35" s="42"/>
      <c r="B35" s="43"/>
      <c r="C35" s="44"/>
      <c r="E35" s="45"/>
      <c r="F35" s="45"/>
      <c r="G35" s="45"/>
      <c r="H35" s="45"/>
      <c r="I35" s="45"/>
      <c r="J35" s="45"/>
      <c r="K35" s="45"/>
      <c r="L35" s="45"/>
      <c r="M35" s="45"/>
    </row>
    <row r="36" spans="1:13" ht="12.75">
      <c r="A36" s="25" t="s">
        <v>100</v>
      </c>
      <c r="B36" s="26"/>
      <c r="C36" s="26" t="s">
        <v>89</v>
      </c>
      <c r="F36" s="26"/>
      <c r="G36" s="26"/>
      <c r="H36" s="26"/>
      <c r="I36" s="26"/>
      <c r="J36" s="26"/>
      <c r="K36" s="26"/>
      <c r="L36" s="26"/>
      <c r="M36" s="26"/>
    </row>
    <row r="37" spans="1:13" s="46" customFormat="1" ht="6" customHeight="1">
      <c r="A37" s="42"/>
      <c r="B37" s="43"/>
      <c r="C37" s="43"/>
      <c r="D37" s="44"/>
      <c r="E37" s="47"/>
      <c r="F37" s="44"/>
      <c r="G37" s="44"/>
      <c r="H37" s="44"/>
      <c r="I37" s="44"/>
      <c r="J37" s="43"/>
      <c r="K37" s="43"/>
      <c r="L37" s="43"/>
      <c r="M37" s="43"/>
    </row>
    <row r="38" spans="1:13" s="46" customFormat="1" ht="12.75">
      <c r="A38" s="42" t="s">
        <v>23</v>
      </c>
      <c r="B38" s="43"/>
      <c r="C38" s="44" t="s">
        <v>104</v>
      </c>
      <c r="E38" s="47"/>
      <c r="F38" s="44"/>
      <c r="G38" s="44"/>
      <c r="H38" s="44"/>
      <c r="I38" s="44"/>
      <c r="J38" s="43"/>
      <c r="K38" s="43"/>
      <c r="L38" s="43"/>
      <c r="M38" s="43"/>
    </row>
    <row r="39" spans="1:13" s="46" customFormat="1" ht="6" customHeight="1">
      <c r="A39" s="42"/>
      <c r="B39" s="43"/>
      <c r="C39" s="43"/>
      <c r="D39" s="44"/>
      <c r="E39" s="47"/>
      <c r="F39" s="44"/>
      <c r="G39" s="44"/>
      <c r="H39" s="44"/>
      <c r="I39" s="44"/>
      <c r="J39" s="43"/>
      <c r="K39" s="43"/>
      <c r="L39" s="43"/>
      <c r="M39" s="43"/>
    </row>
    <row r="40" spans="1:13" s="46" customFormat="1" ht="12.75">
      <c r="A40" s="42" t="s">
        <v>25</v>
      </c>
      <c r="B40" s="43"/>
      <c r="C40" s="43" t="s">
        <v>58</v>
      </c>
      <c r="E40" s="47"/>
      <c r="F40" s="48"/>
      <c r="G40" s="43"/>
      <c r="H40" s="43"/>
      <c r="I40" s="43"/>
      <c r="J40" s="43"/>
      <c r="K40" s="43"/>
      <c r="L40" s="43"/>
      <c r="M40" s="43"/>
    </row>
    <row r="41" spans="1:13" s="46" customFormat="1" ht="12.75">
      <c r="A41" s="42"/>
      <c r="B41" s="43"/>
      <c r="C41" s="43" t="s">
        <v>59</v>
      </c>
      <c r="E41" s="47"/>
      <c r="F41" s="48"/>
      <c r="G41" s="43"/>
      <c r="H41" s="43"/>
      <c r="I41" s="43"/>
      <c r="J41" s="43"/>
      <c r="K41" s="43"/>
      <c r="L41" s="43"/>
      <c r="M41" s="43"/>
    </row>
    <row r="42" spans="1:13" s="46" customFormat="1" ht="6" customHeight="1">
      <c r="A42" s="42"/>
      <c r="B42" s="43"/>
      <c r="C42" s="43"/>
      <c r="D42" s="43"/>
      <c r="E42" s="47"/>
      <c r="F42" s="48"/>
      <c r="G42" s="43"/>
      <c r="H42" s="43"/>
      <c r="I42" s="43"/>
      <c r="J42" s="43"/>
      <c r="K42" s="43"/>
      <c r="L42" s="43"/>
      <c r="M42" s="43"/>
    </row>
    <row r="43" spans="1:13" s="46" customFormat="1" ht="12.75">
      <c r="A43" s="42" t="s">
        <v>28</v>
      </c>
      <c r="B43" s="43"/>
      <c r="C43" s="43" t="s">
        <v>29</v>
      </c>
      <c r="E43" s="47"/>
      <c r="F43" s="48"/>
      <c r="G43" s="43"/>
      <c r="H43" s="43"/>
      <c r="I43" s="43"/>
      <c r="J43" s="43"/>
      <c r="K43" s="43"/>
      <c r="L43" s="43"/>
      <c r="M43" s="43"/>
    </row>
    <row r="44" spans="1:13" s="46" customFormat="1" ht="6" customHeight="1">
      <c r="A44" s="42"/>
      <c r="B44" s="43"/>
      <c r="C44" s="43"/>
      <c r="D44" s="43"/>
      <c r="E44" s="47"/>
      <c r="F44" s="48"/>
      <c r="G44" s="43"/>
      <c r="H44" s="43"/>
      <c r="I44" s="43"/>
      <c r="J44" s="43"/>
      <c r="K44" s="43"/>
      <c r="L44" s="43"/>
      <c r="M44" s="43"/>
    </row>
    <row r="45" spans="1:12" s="46" customFormat="1" ht="12.75">
      <c r="A45" s="42" t="s">
        <v>76</v>
      </c>
      <c r="B45" s="43"/>
      <c r="C45" s="43" t="s">
        <v>79</v>
      </c>
      <c r="D45" s="47"/>
      <c r="E45" s="48"/>
      <c r="F45" s="43"/>
      <c r="G45" s="43"/>
      <c r="H45" s="43"/>
      <c r="I45" s="43"/>
      <c r="J45" s="43"/>
      <c r="K45" s="43"/>
      <c r="L45" s="43"/>
    </row>
    <row r="46" spans="1:12" s="46" customFormat="1" ht="12.75">
      <c r="A46" s="42"/>
      <c r="B46" s="43"/>
      <c r="C46" s="43" t="s">
        <v>86</v>
      </c>
      <c r="D46" s="47"/>
      <c r="E46" s="48"/>
      <c r="F46" s="43"/>
      <c r="G46" s="43"/>
      <c r="H46" s="43"/>
      <c r="I46" s="43"/>
      <c r="J46" s="43"/>
      <c r="K46" s="43"/>
      <c r="L46" s="43"/>
    </row>
    <row r="47" spans="1:12" s="46" customFormat="1" ht="12.75">
      <c r="A47" s="42"/>
      <c r="B47" s="43"/>
      <c r="C47" s="43" t="s">
        <v>87</v>
      </c>
      <c r="D47" s="47"/>
      <c r="E47" s="48"/>
      <c r="F47" s="43"/>
      <c r="G47" s="43"/>
      <c r="H47" s="43"/>
      <c r="I47" s="43"/>
      <c r="J47" s="43"/>
      <c r="K47" s="43"/>
      <c r="L47" s="43"/>
    </row>
    <row r="48" spans="1:13" s="46" customFormat="1" ht="6" customHeight="1">
      <c r="A48" s="42"/>
      <c r="B48" s="43"/>
      <c r="C48" s="43"/>
      <c r="D48" s="43"/>
      <c r="E48" s="47"/>
      <c r="F48" s="48"/>
      <c r="G48" s="43"/>
      <c r="H48" s="43"/>
      <c r="I48" s="43"/>
      <c r="J48" s="43"/>
      <c r="K48" s="43"/>
      <c r="L48" s="43"/>
      <c r="M48" s="43"/>
    </row>
    <row r="49" spans="1:12" s="46" customFormat="1" ht="12.75">
      <c r="A49" s="42" t="s">
        <v>30</v>
      </c>
      <c r="B49" s="43"/>
      <c r="C49" s="43" t="s">
        <v>77</v>
      </c>
      <c r="D49" s="47"/>
      <c r="E49" s="48"/>
      <c r="F49" s="43"/>
      <c r="G49" s="43"/>
      <c r="H49" s="43"/>
      <c r="I49" s="43"/>
      <c r="J49" s="43"/>
      <c r="K49" s="43"/>
      <c r="L49" s="43"/>
    </row>
    <row r="50" spans="1:12" s="46" customFormat="1" ht="12.75">
      <c r="A50" s="42"/>
      <c r="B50" s="43"/>
      <c r="C50" s="43" t="s">
        <v>78</v>
      </c>
      <c r="D50" s="47"/>
      <c r="E50" s="48"/>
      <c r="F50" s="43"/>
      <c r="G50" s="43"/>
      <c r="H50" s="43"/>
      <c r="I50" s="43"/>
      <c r="J50" s="43"/>
      <c r="K50" s="43"/>
      <c r="L50" s="43"/>
    </row>
    <row r="51" spans="1:13" s="46" customFormat="1" ht="6" customHeight="1">
      <c r="A51" s="42"/>
      <c r="B51" s="43"/>
      <c r="C51" s="43"/>
      <c r="E51" s="47"/>
      <c r="F51" s="48"/>
      <c r="G51" s="43"/>
      <c r="H51" s="43"/>
      <c r="I51" s="43"/>
      <c r="J51" s="43"/>
      <c r="K51" s="43"/>
      <c r="L51" s="43"/>
      <c r="M51" s="43"/>
    </row>
    <row r="52" spans="1:12" s="46" customFormat="1" ht="12.75">
      <c r="A52" s="42" t="s">
        <v>88</v>
      </c>
      <c r="B52" s="43"/>
      <c r="C52" s="43" t="s">
        <v>81</v>
      </c>
      <c r="D52" s="47"/>
      <c r="E52" s="48"/>
      <c r="F52" s="43"/>
      <c r="G52" s="43"/>
      <c r="H52" s="43"/>
      <c r="I52" s="43"/>
      <c r="J52" s="43"/>
      <c r="K52" s="43"/>
      <c r="L52" s="43"/>
    </row>
    <row r="53" spans="1:12" s="46" customFormat="1" ht="12.75">
      <c r="A53" s="49"/>
      <c r="B53" s="43"/>
      <c r="C53" s="43" t="s">
        <v>82</v>
      </c>
      <c r="D53" s="47"/>
      <c r="E53" s="48"/>
      <c r="F53" s="43"/>
      <c r="G53" s="43"/>
      <c r="H53" s="43"/>
      <c r="I53" s="43"/>
      <c r="J53" s="43"/>
      <c r="K53" s="43"/>
      <c r="L53" s="43"/>
    </row>
    <row r="54" spans="1:13" s="46" customFormat="1" ht="6" customHeight="1">
      <c r="A54" s="50"/>
      <c r="B54" s="51"/>
      <c r="C54" s="51"/>
      <c r="E54" s="51"/>
      <c r="F54" s="52"/>
      <c r="G54" s="51"/>
      <c r="H54" s="51"/>
      <c r="I54" s="51"/>
      <c r="J54" s="51"/>
      <c r="K54" s="51"/>
      <c r="L54" s="51"/>
      <c r="M54" s="51"/>
    </row>
    <row r="55" spans="1:13" s="46" customFormat="1" ht="12.75">
      <c r="A55" s="42" t="s">
        <v>47</v>
      </c>
      <c r="B55" s="43"/>
      <c r="C55" s="43" t="s">
        <v>60</v>
      </c>
      <c r="E55" s="47"/>
      <c r="F55" s="48"/>
      <c r="G55" s="43"/>
      <c r="H55" s="43"/>
      <c r="I55" s="43"/>
      <c r="J55" s="43"/>
      <c r="K55" s="43"/>
      <c r="L55" s="43"/>
      <c r="M55" s="47"/>
    </row>
    <row r="56" spans="1:13" s="46" customFormat="1" ht="12.75">
      <c r="A56" s="49"/>
      <c r="B56" s="43"/>
      <c r="C56" s="43" t="s">
        <v>61</v>
      </c>
      <c r="E56" s="47"/>
      <c r="F56" s="48"/>
      <c r="G56" s="43"/>
      <c r="H56" s="43"/>
      <c r="I56" s="43"/>
      <c r="J56" s="43"/>
      <c r="K56" s="43"/>
      <c r="L56" s="43"/>
      <c r="M56" s="47"/>
    </row>
    <row r="57" spans="1:13" s="46" customFormat="1" ht="12.75">
      <c r="A57" s="49"/>
      <c r="B57" s="43"/>
      <c r="C57" s="43" t="s">
        <v>62</v>
      </c>
      <c r="E57" s="47"/>
      <c r="F57" s="48"/>
      <c r="G57" s="43"/>
      <c r="H57" s="43"/>
      <c r="I57" s="43"/>
      <c r="J57" s="43"/>
      <c r="K57" s="43"/>
      <c r="L57" s="43"/>
      <c r="M57" s="47"/>
    </row>
    <row r="58" spans="1:13" ht="12.75">
      <c r="A58" s="29"/>
      <c r="B58" s="30"/>
      <c r="C58" s="30"/>
      <c r="D58" s="26"/>
      <c r="E58" s="30"/>
      <c r="F58" s="31"/>
      <c r="G58" s="30"/>
      <c r="H58" s="30"/>
      <c r="I58" s="30"/>
      <c r="J58" s="30"/>
      <c r="K58" s="30"/>
      <c r="L58" s="30"/>
      <c r="M58" s="30"/>
    </row>
    <row r="59" spans="1:13" s="23" customFormat="1" ht="12.75">
      <c r="A59" s="74" t="s">
        <v>31</v>
      </c>
      <c r="B59" s="75"/>
      <c r="C59" s="75"/>
      <c r="D59" s="75"/>
      <c r="E59" s="75"/>
      <c r="F59" s="75"/>
      <c r="G59" s="75"/>
      <c r="H59" s="75"/>
      <c r="I59" s="75"/>
      <c r="J59" s="75"/>
      <c r="K59" s="75"/>
      <c r="L59" s="75"/>
      <c r="M59" s="81"/>
    </row>
    <row r="60" ht="12.75">
      <c r="A60" s="24"/>
    </row>
    <row r="61" spans="1:13" ht="13.5">
      <c r="A61" s="32"/>
      <c r="E61" s="10" t="s">
        <v>9</v>
      </c>
      <c r="F61" s="76" t="s">
        <v>90</v>
      </c>
      <c r="G61" s="76"/>
      <c r="H61" s="76"/>
      <c r="I61" s="76"/>
      <c r="J61" s="10" t="s">
        <v>10</v>
      </c>
      <c r="K61" s="54" t="s">
        <v>84</v>
      </c>
      <c r="L61" s="10" t="s">
        <v>45</v>
      </c>
      <c r="M61" s="34"/>
    </row>
    <row r="62" spans="1:13" ht="12.75">
      <c r="A62" s="35"/>
      <c r="E62" s="8" t="s">
        <v>17</v>
      </c>
      <c r="F62" s="8" t="s">
        <v>91</v>
      </c>
      <c r="G62" s="56" t="s">
        <v>92</v>
      </c>
      <c r="H62" s="36"/>
      <c r="I62" s="8" t="s">
        <v>93</v>
      </c>
      <c r="J62" s="8" t="s">
        <v>19</v>
      </c>
      <c r="K62" s="55" t="s">
        <v>85</v>
      </c>
      <c r="L62" s="8" t="s">
        <v>46</v>
      </c>
      <c r="M62" s="34"/>
    </row>
    <row r="63" spans="2:13" ht="12.75">
      <c r="B63" s="39" t="s">
        <v>55</v>
      </c>
      <c r="C63" s="39"/>
      <c r="D63" s="39"/>
      <c r="E63" s="57">
        <v>0.45</v>
      </c>
      <c r="F63" s="57">
        <v>0.21</v>
      </c>
      <c r="G63" s="58">
        <v>0.0875</v>
      </c>
      <c r="H63" s="59"/>
      <c r="I63" s="57">
        <v>0.0125</v>
      </c>
      <c r="J63" s="57">
        <v>0.1</v>
      </c>
      <c r="K63" s="57">
        <v>0.1</v>
      </c>
      <c r="L63" s="57">
        <v>0.04</v>
      </c>
      <c r="M63" s="38"/>
    </row>
    <row r="64" spans="2:13" ht="12.75">
      <c r="B64" s="39" t="s">
        <v>56</v>
      </c>
      <c r="C64" s="39"/>
      <c r="D64" s="39"/>
      <c r="E64" s="57">
        <v>0.49</v>
      </c>
      <c r="F64" s="57">
        <v>0.21</v>
      </c>
      <c r="G64" s="58">
        <v>0.0875</v>
      </c>
      <c r="H64" s="59"/>
      <c r="I64" s="57">
        <v>0.0125</v>
      </c>
      <c r="J64" s="57">
        <v>0.1</v>
      </c>
      <c r="K64" s="57">
        <v>0.1</v>
      </c>
      <c r="L64" s="57">
        <v>0</v>
      </c>
      <c r="M64" s="38"/>
    </row>
    <row r="65" spans="2:13" ht="12.75">
      <c r="B65" s="39" t="s">
        <v>53</v>
      </c>
      <c r="C65" s="39"/>
      <c r="D65" s="39"/>
      <c r="E65" s="57">
        <v>0.51</v>
      </c>
      <c r="F65" s="57">
        <v>0.21</v>
      </c>
      <c r="G65" s="58">
        <v>0.0875</v>
      </c>
      <c r="H65" s="59"/>
      <c r="I65" s="57">
        <v>0.0125</v>
      </c>
      <c r="J65" s="57">
        <v>0.08</v>
      </c>
      <c r="K65" s="57">
        <v>0.1</v>
      </c>
      <c r="L65" s="57">
        <v>0</v>
      </c>
      <c r="M65" s="38"/>
    </row>
    <row r="66" spans="2:13" ht="12.75">
      <c r="B66" s="39"/>
      <c r="C66" s="39"/>
      <c r="D66" s="39"/>
      <c r="E66" s="26"/>
      <c r="F66" s="27"/>
      <c r="G66" s="40"/>
      <c r="H66" s="26"/>
      <c r="I66" s="40"/>
      <c r="J66" s="40"/>
      <c r="K66" s="40"/>
      <c r="L66" s="40"/>
      <c r="M66" s="38"/>
    </row>
    <row r="67" spans="1:13" s="23" customFormat="1" ht="12.75">
      <c r="A67" s="77" t="s">
        <v>41</v>
      </c>
      <c r="B67" s="78"/>
      <c r="C67" s="78"/>
      <c r="D67" s="78"/>
      <c r="E67" s="78"/>
      <c r="F67" s="78"/>
      <c r="G67" s="78"/>
      <c r="H67" s="78"/>
      <c r="I67" s="78"/>
      <c r="J67" s="78"/>
      <c r="K67" s="78"/>
      <c r="L67" s="78"/>
      <c r="M67" s="82"/>
    </row>
    <row r="68" spans="1:6" ht="12.75">
      <c r="A68" s="24"/>
      <c r="E68"/>
      <c r="F68" s="16"/>
    </row>
    <row r="69" spans="1:13" ht="54.75" customHeight="1">
      <c r="A69" s="79" t="s">
        <v>109</v>
      </c>
      <c r="B69" s="80"/>
      <c r="C69" s="80"/>
      <c r="D69" s="80"/>
      <c r="E69" s="80"/>
      <c r="F69" s="80"/>
      <c r="G69" s="80"/>
      <c r="H69" s="80"/>
      <c r="I69" s="80"/>
      <c r="J69" s="80"/>
      <c r="K69" s="80"/>
      <c r="L69" s="80"/>
      <c r="M69" s="80"/>
    </row>
    <row r="70" spans="1:6" ht="12.75">
      <c r="A70" s="16"/>
      <c r="E70"/>
      <c r="F70" s="16"/>
    </row>
    <row r="71" spans="2:5" ht="12.75">
      <c r="B71" s="24" t="s">
        <v>42</v>
      </c>
      <c r="C71" s="24"/>
      <c r="D71" s="24"/>
      <c r="E71" s="16">
        <v>2325592</v>
      </c>
    </row>
    <row r="72" spans="2:5" ht="12.75">
      <c r="B72" s="24" t="s">
        <v>43</v>
      </c>
      <c r="C72" s="24"/>
      <c r="D72" s="24"/>
      <c r="E72" s="16">
        <v>775198</v>
      </c>
    </row>
    <row r="73" spans="2:5" ht="12.75">
      <c r="B73" s="16" t="s">
        <v>32</v>
      </c>
      <c r="D73" s="16" t="s">
        <v>32</v>
      </c>
      <c r="E73" s="16" t="s">
        <v>32</v>
      </c>
    </row>
    <row r="74" ht="12.75">
      <c r="E74" s="16" t="s">
        <v>32</v>
      </c>
    </row>
    <row r="75" ht="12.75">
      <c r="A75" s="28" t="s">
        <v>101</v>
      </c>
    </row>
  </sheetData>
  <sheetProtection/>
  <mergeCells count="12">
    <mergeCell ref="A1:M1"/>
    <mergeCell ref="A2:M2"/>
    <mergeCell ref="A3:M3"/>
    <mergeCell ref="A4:M4"/>
    <mergeCell ref="A5:M5"/>
    <mergeCell ref="A8:M8"/>
    <mergeCell ref="I10:M10"/>
    <mergeCell ref="A31:M31"/>
    <mergeCell ref="A59:M59"/>
    <mergeCell ref="F61:I61"/>
    <mergeCell ref="A67:M67"/>
    <mergeCell ref="A69:M69"/>
  </mergeCells>
  <hyperlinks>
    <hyperlink ref="A4" r:id="rId1" display="www.saratogagamingandraceway.com"/>
  </hyperlinks>
  <printOptions horizontalCentered="1"/>
  <pageMargins left="0.25" right="0.25" top="0.75" bottom="0.5" header="0.5" footer="0.5"/>
  <pageSetup fitToHeight="1" fitToWidth="1" horizontalDpi="600" verticalDpi="600" orientation="portrait"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Lottery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Roddy</dc:creator>
  <cp:keywords/>
  <dc:description/>
  <cp:lastModifiedBy>Day, Zachary (GAMING)</cp:lastModifiedBy>
  <cp:lastPrinted>2021-11-08T19:14:26Z</cp:lastPrinted>
  <dcterms:created xsi:type="dcterms:W3CDTF">2007-10-10T21:16:08Z</dcterms:created>
  <dcterms:modified xsi:type="dcterms:W3CDTF">2024-04-08T19:36:04Z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